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drawings/drawing8.xml" ContentType="application/vnd.openxmlformats-officedocument.drawing+xml"/>
  <Override PartName="/xl/ctrlProps/ctrlProp10.xml" ContentType="application/vnd.ms-excel.controlproperties+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10.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1.xml" ContentType="application/vnd.openxmlformats-officedocument.drawing+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updateLinks="never" codeName="DieseArbeitsmappe" defaultThemeVersion="124226"/>
  <mc:AlternateContent xmlns:mc="http://schemas.openxmlformats.org/markup-compatibility/2006">
    <mc:Choice Requires="x15">
      <x15ac:absPath xmlns:x15ac="http://schemas.microsoft.com/office/spreadsheetml/2010/11/ac" url="\\zug.team\themenspeicher\KKS\03_Werkzeuge\Formulare\Formulare_Arbeitsordner\KRL2024\01_FINALE_PRÜFUNG\"/>
    </mc:Choice>
  </mc:AlternateContent>
  <xr:revisionPtr revIDLastSave="0" documentId="13_ncr:1_{92EFF884-F76D-4C31-A713-C64F020D087A}" xr6:coauthVersionLast="47" xr6:coauthVersionMax="47" xr10:uidLastSave="{00000000-0000-0000-0000-000000000000}"/>
  <workbookProtection workbookPassword="C730" lockStructure="1"/>
  <bookViews>
    <workbookView xWindow="19090" yWindow="-110" windowWidth="38620" windowHeight="25100" tabRatio="909" xr2:uid="{00000000-000D-0000-FFFF-FFFF00000000}"/>
  </bookViews>
  <sheets>
    <sheet name="Basisdaten" sheetId="26" r:id="rId1"/>
    <sheet name="menu" sheetId="10" state="hidden" r:id="rId2"/>
    <sheet name="Texte" sheetId="27" state="hidden" r:id="rId3"/>
    <sheet name="AntragstellerIn" sheetId="36" r:id="rId4"/>
    <sheet name="Inhalte und Handlungsfelder" sheetId="37" r:id="rId5"/>
    <sheet name="TVÖD_Obergrenzen" sheetId="18" state="hidden" r:id="rId6"/>
    <sheet name="Dashboard" sheetId="33" state="hidden" r:id="rId7"/>
    <sheet name="Personalausgaben" sheetId="38" state="hidden" r:id="rId8"/>
    <sheet name="Personal" sheetId="2" state="hidden" r:id="rId9"/>
    <sheet name="Ausgabenkalkulation" sheetId="14" r:id="rId10"/>
    <sheet name="Tabelle1" sheetId="39" state="hidden" r:id="rId11"/>
    <sheet name="Begl_Öffentlichkeitsarbeit" sheetId="11" r:id="rId12"/>
    <sheet name="Akteursbeteiligung" sheetId="5" state="hidden" r:id="rId13"/>
    <sheet name="prof_Prozessunterstützung" sheetId="13" state="hidden" r:id="rId14"/>
    <sheet name="weitere Sachausgaben" sheetId="3" state="hidden" r:id="rId15"/>
    <sheet name="Dienstreisen und Qualifizierung" sheetId="4" state="hidden" r:id="rId16"/>
    <sheet name="Konzeptfertigstellung" sheetId="6" state="hidden" r:id="rId17"/>
    <sheet name="ausgabenexport" sheetId="34" state="hidden" r:id="rId18"/>
    <sheet name="Hinweise Ausgaben ÖA" sheetId="41" r:id="rId19"/>
    <sheet name="Ausgabenübersicht" sheetId="35" r:id="rId20"/>
    <sheet name="Anmerkungen" sheetId="17" r:id="rId21"/>
  </sheets>
  <externalReferences>
    <externalReference r:id="rId22"/>
  </externalReferences>
  <definedNames>
    <definedName name="bahncard100">menu!$B$5</definedName>
    <definedName name="bahncard25">menu!$B$3</definedName>
    <definedName name="_xlnm.Print_Area" localSheetId="12">Akteursbeteiligung!$B$2:$N$62</definedName>
    <definedName name="_xlnm.Print_Area" localSheetId="20">Anmerkungen!$B$2:$K$45</definedName>
    <definedName name="_xlnm.Print_Area" localSheetId="3">AntragstellerIn!$B$3:$R$65</definedName>
    <definedName name="_xlnm.Print_Area" localSheetId="9">Ausgabenkalkulation!$B$2:$N$36</definedName>
    <definedName name="_xlnm.Print_Area" localSheetId="19">Ausgabenübersicht!$B$2:$R$25</definedName>
    <definedName name="_xlnm.Print_Area" localSheetId="0">Basisdaten!$B$2:$R$47</definedName>
    <definedName name="_xlnm.Print_Area" localSheetId="11">Begl_Öffentlichkeitsarbeit!$B$2:$N$50</definedName>
    <definedName name="_xlnm.Print_Area" localSheetId="15">'Dienstreisen und Qualifizierung'!$B$2:$Q$44</definedName>
    <definedName name="_xlnm.Print_Area" localSheetId="18">'Hinweise Ausgaben ÖA'!$B$3:$R$61</definedName>
    <definedName name="_xlnm.Print_Area" localSheetId="4">'Inhalte und Handlungsfelder'!$B$3:$Q$17</definedName>
    <definedName name="_xlnm.Print_Area" localSheetId="16">Konzeptfertigstellung!$B$2:$N$22</definedName>
    <definedName name="_xlnm.Print_Area" localSheetId="8">Personal!$B$2:$R$62</definedName>
    <definedName name="_xlnm.Print_Area" localSheetId="7">Personalausgaben!$A$1:$H$39</definedName>
    <definedName name="_xlnm.Print_Area" localSheetId="13">prof_Prozessunterstützung!$B$2:$N$27</definedName>
    <definedName name="_xlnm.Print_Area" localSheetId="10">Tabelle1!$B$2:$AO$44</definedName>
    <definedName name="_xlnm.Print_Area" localSheetId="14">'weitere Sachausgaben'!$B$2:$P$54</definedName>
    <definedName name="Navi">INDIRECT(ADDRESS(1,1,,,INDIRECT("Basisdaten!U4")))</definedName>
    <definedName name="Z_68ABA936_E0C3_4F62_AA1D_4FD1F5462098_.wvu.PrintArea" localSheetId="12" hidden="1">Akteursbeteiligung!$B$2:$N$62</definedName>
    <definedName name="Z_68ABA936_E0C3_4F62_AA1D_4FD1F5462098_.wvu.PrintArea" localSheetId="20" hidden="1">Anmerkungen!$B$2:$K$45</definedName>
    <definedName name="Z_68ABA936_E0C3_4F62_AA1D_4FD1F5462098_.wvu.PrintArea" localSheetId="9" hidden="1">Ausgabenkalkulation!$B$2:$N$36</definedName>
    <definedName name="Z_68ABA936_E0C3_4F62_AA1D_4FD1F5462098_.wvu.PrintArea" localSheetId="0" hidden="1">Basisdaten!$B$2:$R$40</definedName>
    <definedName name="Z_68ABA936_E0C3_4F62_AA1D_4FD1F5462098_.wvu.PrintArea" localSheetId="11" hidden="1">Begl_Öffentlichkeitsarbeit!$B$2:$N$50</definedName>
    <definedName name="Z_68ABA936_E0C3_4F62_AA1D_4FD1F5462098_.wvu.PrintArea" localSheetId="15" hidden="1">'Dienstreisen und Qualifizierung'!$B$2:$P$44</definedName>
    <definedName name="Z_68ABA936_E0C3_4F62_AA1D_4FD1F5462098_.wvu.PrintArea" localSheetId="16" hidden="1">Konzeptfertigstellung!$B$2:$N$22</definedName>
    <definedName name="Z_68ABA936_E0C3_4F62_AA1D_4FD1F5462098_.wvu.PrintArea" localSheetId="8" hidden="1">Personal!$B$2:$R$62</definedName>
    <definedName name="Z_68ABA936_E0C3_4F62_AA1D_4FD1F5462098_.wvu.PrintArea" localSheetId="13" hidden="1">prof_Prozessunterstützung!$B$2:$N$27</definedName>
    <definedName name="Z_68ABA936_E0C3_4F62_AA1D_4FD1F5462098_.wvu.PrintArea" localSheetId="14" hidden="1">'weitere Sachausgaben'!$B$2:$P$54</definedName>
    <definedName name="Z_68ABA936_E0C3_4F62_AA1D_4FD1F5462098_.wvu.Rows" localSheetId="0" hidden="1">Basisdaten!#REF!</definedName>
  </definedNames>
  <calcPr calcId="191029"/>
  <customWorkbookViews>
    <customWorkbookView name="Barkowsky, Patrick - Persönliche Ansicht" guid="{68ABA936-E0C3-4F62-AA1D-4FD1F5462098}" mergeInterval="0" personalView="1" xWindow="845" yWindow="22" windowWidth="970" windowHeight="968" tabRatio="909"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26" l="1"/>
  <c r="C10" i="11" l="1"/>
  <c r="C9" i="37" l="1"/>
  <c r="C25" i="26"/>
  <c r="C61" i="41" l="1"/>
  <c r="C4" i="41"/>
  <c r="L14" i="11" l="1"/>
  <c r="A280" i="10" l="1"/>
  <c r="A281" i="10"/>
  <c r="A282" i="10"/>
  <c r="A283" i="10"/>
  <c r="A284" i="10"/>
  <c r="A285" i="10"/>
  <c r="A286" i="10"/>
  <c r="A287" i="10"/>
  <c r="A279" i="10"/>
  <c r="A278" i="10"/>
  <c r="D21" i="35" l="1"/>
  <c r="C24" i="26"/>
  <c r="C49" i="11" s="1"/>
  <c r="E29" i="26"/>
  <c r="C6" i="26" l="1"/>
  <c r="C5" i="41" s="1"/>
  <c r="B20" i="26"/>
  <c r="B18" i="26"/>
  <c r="T16" i="26"/>
  <c r="C55" i="27" l="1"/>
  <c r="D55" i="27" s="1"/>
  <c r="A54" i="27" s="1"/>
  <c r="C14" i="37" s="1"/>
  <c r="B289" i="10" l="1"/>
  <c r="B287" i="10"/>
  <c r="D24" i="14" s="1"/>
  <c r="B288" i="10"/>
  <c r="O36" i="26" l="1"/>
  <c r="L16" i="14" l="1"/>
  <c r="L17" i="14"/>
  <c r="L18" i="14"/>
  <c r="L19" i="14"/>
  <c r="L20" i="14"/>
  <c r="L21" i="14"/>
  <c r="L22" i="14"/>
  <c r="L23" i="14"/>
  <c r="L15" i="14"/>
  <c r="B279" i="10"/>
  <c r="D16" i="14" s="1"/>
  <c r="B280" i="10"/>
  <c r="D17" i="14" s="1"/>
  <c r="B281" i="10"/>
  <c r="D18" i="14" s="1"/>
  <c r="B282" i="10"/>
  <c r="D19" i="14" s="1"/>
  <c r="B283" i="10"/>
  <c r="D20" i="14" s="1"/>
  <c r="B284" i="10"/>
  <c r="D21" i="14" s="1"/>
  <c r="B285" i="10"/>
  <c r="D22" i="14" s="1"/>
  <c r="B286" i="10"/>
  <c r="D23" i="14" s="1"/>
  <c r="B278" i="10"/>
  <c r="D15" i="14" s="1"/>
  <c r="U12" i="10"/>
  <c r="B10" i="35"/>
  <c r="B11" i="35" s="1"/>
  <c r="N13" i="35" l="1"/>
  <c r="A294" i="10"/>
  <c r="C23" i="14"/>
  <c r="C24" i="14" s="1"/>
  <c r="C39" i="26"/>
  <c r="I53" i="10"/>
  <c r="O33" i="26"/>
  <c r="N36" i="26" l="1"/>
  <c r="F6" i="6"/>
  <c r="G6" i="6" s="1"/>
  <c r="G6" i="4"/>
  <c r="H6" i="4" s="1"/>
  <c r="G6" i="3"/>
  <c r="B174" i="10"/>
  <c r="B114" i="10"/>
  <c r="C16" i="13" l="1"/>
  <c r="O25" i="3" l="1"/>
  <c r="O26" i="3"/>
  <c r="O27" i="3"/>
  <c r="O28" i="3"/>
  <c r="O29" i="3"/>
  <c r="O30" i="3"/>
  <c r="O24" i="3"/>
  <c r="O17" i="3"/>
  <c r="O16" i="3"/>
  <c r="O15" i="3"/>
  <c r="O14" i="3"/>
  <c r="O13" i="3"/>
  <c r="O12" i="3"/>
  <c r="C31" i="3" l="1"/>
  <c r="C18" i="3"/>
  <c r="C44" i="39" l="1"/>
  <c r="C43" i="39"/>
  <c r="C42" i="39"/>
  <c r="C41" i="39"/>
  <c r="C40" i="39"/>
  <c r="C39" i="39"/>
  <c r="C38" i="39"/>
  <c r="C37" i="39"/>
  <c r="C36" i="39"/>
  <c r="C35" i="39"/>
  <c r="C34" i="39"/>
  <c r="C33" i="39"/>
  <c r="C32" i="39"/>
  <c r="C31" i="39"/>
  <c r="C30" i="39"/>
  <c r="C29" i="39"/>
  <c r="C28" i="39"/>
  <c r="C27" i="39"/>
  <c r="C26" i="39"/>
  <c r="C25" i="39"/>
  <c r="C24" i="39"/>
  <c r="C23" i="39"/>
  <c r="C22" i="39"/>
  <c r="C21" i="39"/>
  <c r="C20" i="39"/>
  <c r="C19" i="39"/>
  <c r="C18" i="39"/>
  <c r="C17" i="39"/>
  <c r="C16" i="39"/>
  <c r="C15" i="39"/>
  <c r="C14" i="39"/>
  <c r="C13" i="39"/>
  <c r="C12" i="39"/>
  <c r="C11" i="39"/>
  <c r="C10" i="39"/>
  <c r="C9" i="39"/>
  <c r="C8" i="39"/>
  <c r="C7" i="39"/>
  <c r="C6" i="39"/>
  <c r="C5" i="39"/>
  <c r="B44" i="39"/>
  <c r="B43" i="39"/>
  <c r="B42" i="39"/>
  <c r="B41" i="39"/>
  <c r="B40" i="39"/>
  <c r="B39" i="39"/>
  <c r="B38" i="39"/>
  <c r="B37" i="39"/>
  <c r="B36" i="39"/>
  <c r="B35" i="39"/>
  <c r="B261" i="10"/>
  <c r="B260" i="10"/>
  <c r="B259" i="10"/>
  <c r="B258" i="10"/>
  <c r="B257" i="10"/>
  <c r="A261" i="10"/>
  <c r="A260" i="10"/>
  <c r="A259" i="10"/>
  <c r="R5" i="10" s="1"/>
  <c r="A258" i="10"/>
  <c r="A257" i="10"/>
  <c r="K144" i="10"/>
  <c r="K143" i="10"/>
  <c r="R7" i="10" l="1"/>
  <c r="R10" i="10"/>
  <c r="R6" i="10"/>
  <c r="R4" i="10"/>
  <c r="R12" i="10"/>
  <c r="R11" i="10"/>
  <c r="R9" i="10"/>
  <c r="R8" i="10"/>
  <c r="J139" i="10" l="1"/>
  <c r="J140" i="10"/>
  <c r="J141" i="10"/>
  <c r="J138" i="10"/>
  <c r="E57" i="5" l="1"/>
  <c r="L42" i="5"/>
  <c r="M42" i="5" s="1"/>
  <c r="L43" i="5"/>
  <c r="M43" i="5" s="1"/>
  <c r="L48" i="5"/>
  <c r="M48" i="5" s="1"/>
  <c r="H71" i="34"/>
  <c r="C71" i="34"/>
  <c r="F221" i="10"/>
  <c r="L49" i="5" l="1"/>
  <c r="C49" i="5"/>
  <c r="L44" i="5"/>
  <c r="K57" i="5" s="1"/>
  <c r="L57" i="5" s="1"/>
  <c r="M57" i="5" s="1"/>
  <c r="B34" i="39" l="1"/>
  <c r="B33" i="39"/>
  <c r="B32" i="39"/>
  <c r="B31" i="39"/>
  <c r="B30" i="39"/>
  <c r="B29" i="39"/>
  <c r="B28" i="39"/>
  <c r="B27" i="39"/>
  <c r="B26" i="39"/>
  <c r="B25" i="39"/>
  <c r="B24" i="39"/>
  <c r="B23" i="39"/>
  <c r="B22" i="39"/>
  <c r="B21" i="39"/>
  <c r="B20" i="39"/>
  <c r="B19" i="39"/>
  <c r="B18" i="39"/>
  <c r="B17" i="39"/>
  <c r="B16" i="39"/>
  <c r="B15" i="39"/>
  <c r="B14" i="39"/>
  <c r="B13" i="39"/>
  <c r="B12" i="39"/>
  <c r="B11" i="39"/>
  <c r="B10" i="39"/>
  <c r="B9" i="39"/>
  <c r="B8" i="39"/>
  <c r="B7" i="39"/>
  <c r="B6" i="39"/>
  <c r="B5" i="39"/>
  <c r="B121" i="34" l="1"/>
  <c r="B120" i="34"/>
  <c r="B119" i="34"/>
  <c r="B118" i="34"/>
  <c r="B117" i="34"/>
  <c r="B116" i="34"/>
  <c r="B115" i="34"/>
  <c r="B114" i="34"/>
  <c r="B113" i="34"/>
  <c r="B112" i="34"/>
  <c r="H104" i="34"/>
  <c r="H84" i="34"/>
  <c r="H83" i="34"/>
  <c r="C72" i="34"/>
  <c r="H68" i="34"/>
  <c r="H69" i="34"/>
  <c r="H70" i="34"/>
  <c r="H72" i="34"/>
  <c r="H67" i="34"/>
  <c r="H75" i="34"/>
  <c r="H76" i="34"/>
  <c r="H77" i="34"/>
  <c r="H78" i="34"/>
  <c r="H79" i="34"/>
  <c r="H80" i="34"/>
  <c r="H74" i="34"/>
  <c r="B75" i="34"/>
  <c r="B76" i="34"/>
  <c r="B77" i="34"/>
  <c r="B78" i="34"/>
  <c r="B79" i="34"/>
  <c r="B80" i="34"/>
  <c r="B74" i="34"/>
  <c r="B3" i="34"/>
  <c r="B64" i="34"/>
  <c r="B63" i="34"/>
  <c r="B51" i="34"/>
  <c r="B52" i="34"/>
  <c r="B53" i="34"/>
  <c r="B54" i="34"/>
  <c r="B55" i="34"/>
  <c r="B56" i="34"/>
  <c r="B57" i="34"/>
  <c r="B58" i="34"/>
  <c r="B59" i="34"/>
  <c r="B50" i="34"/>
  <c r="F56" i="34"/>
  <c r="G56" i="34"/>
  <c r="F57" i="34"/>
  <c r="G57" i="34"/>
  <c r="F58" i="34"/>
  <c r="G58" i="34"/>
  <c r="F59" i="34"/>
  <c r="G59" i="34"/>
  <c r="B48" i="34"/>
  <c r="B47" i="34"/>
  <c r="B46" i="34"/>
  <c r="B15" i="34"/>
  <c r="B12" i="34"/>
  <c r="B9" i="34"/>
  <c r="B6" i="34"/>
  <c r="S2" i="38"/>
  <c r="I82" i="34" l="1"/>
  <c r="I66" i="34"/>
  <c r="I74" i="34"/>
  <c r="F4" i="34" l="1"/>
  <c r="F3" i="34"/>
  <c r="C251" i="10" l="1"/>
  <c r="C250" i="10"/>
  <c r="C249" i="10"/>
  <c r="C248" i="10"/>
  <c r="C247" i="10"/>
  <c r="B251" i="10"/>
  <c r="B250" i="10"/>
  <c r="B249" i="10"/>
  <c r="B248" i="10"/>
  <c r="B247" i="10"/>
  <c r="D16" i="2" l="1"/>
  <c r="D14" i="2"/>
  <c r="G30" i="10" l="1"/>
  <c r="F30" i="10"/>
  <c r="E30" i="10"/>
  <c r="D30" i="10"/>
  <c r="C30" i="10"/>
  <c r="G18" i="10"/>
  <c r="G19" i="10" s="1"/>
  <c r="F18" i="10"/>
  <c r="F19" i="10" s="1"/>
  <c r="E18" i="10"/>
  <c r="E19" i="10" s="1"/>
  <c r="D18" i="10"/>
  <c r="D19" i="10" s="1"/>
  <c r="C18" i="10"/>
  <c r="C19" i="10" s="1"/>
  <c r="G17" i="10"/>
  <c r="F17" i="10"/>
  <c r="E17" i="10"/>
  <c r="D17" i="10"/>
  <c r="C17" i="10"/>
  <c r="C20" i="10" l="1"/>
  <c r="B235" i="10" s="1"/>
  <c r="E25" i="10"/>
  <c r="E26" i="10" s="1"/>
  <c r="B243" i="10" s="1"/>
  <c r="D20" i="10"/>
  <c r="B236" i="10" s="1"/>
  <c r="G20" i="10"/>
  <c r="B239" i="10" s="1"/>
  <c r="F20" i="10"/>
  <c r="B238" i="10" s="1"/>
  <c r="D25" i="10"/>
  <c r="D26" i="10" s="1"/>
  <c r="B242" i="10" s="1"/>
  <c r="G25" i="10"/>
  <c r="G26" i="10" s="1"/>
  <c r="B245" i="10" s="1"/>
  <c r="F25" i="10"/>
  <c r="F26" i="10" s="1"/>
  <c r="B244" i="10" s="1"/>
  <c r="L12" i="6"/>
  <c r="L13" i="6"/>
  <c r="L11" i="6"/>
  <c r="D44" i="39"/>
  <c r="D43" i="39"/>
  <c r="D42" i="39"/>
  <c r="D41" i="39"/>
  <c r="D40" i="39"/>
  <c r="D39" i="39"/>
  <c r="D38" i="39"/>
  <c r="D37" i="39"/>
  <c r="D36" i="39"/>
  <c r="D35" i="39"/>
  <c r="D34" i="39"/>
  <c r="D33" i="39"/>
  <c r="D32" i="39"/>
  <c r="D31" i="39"/>
  <c r="D30" i="39"/>
  <c r="D29" i="39"/>
  <c r="D28" i="39"/>
  <c r="D27" i="39"/>
  <c r="D26" i="39"/>
  <c r="D25" i="39"/>
  <c r="D24" i="39"/>
  <c r="D23" i="39"/>
  <c r="D22" i="39"/>
  <c r="D21" i="39"/>
  <c r="D20" i="39"/>
  <c r="D19" i="39"/>
  <c r="D18" i="39"/>
  <c r="D17" i="39"/>
  <c r="D16" i="39"/>
  <c r="D15" i="39"/>
  <c r="D14" i="39"/>
  <c r="D13" i="39"/>
  <c r="D12" i="39"/>
  <c r="D11" i="39"/>
  <c r="D10" i="39"/>
  <c r="D8" i="39"/>
  <c r="D7" i="39"/>
  <c r="D6" i="39"/>
  <c r="D5" i="39"/>
  <c r="C25" i="10" l="1"/>
  <c r="C26" i="10" s="1"/>
  <c r="B241" i="10" s="1"/>
  <c r="E20" i="10"/>
  <c r="B237" i="10" s="1"/>
  <c r="P3" i="38"/>
  <c r="S6" i="38" s="1"/>
  <c r="G21" i="34" s="1"/>
  <c r="P4" i="38"/>
  <c r="S4" i="38" s="1"/>
  <c r="G20" i="34" s="1"/>
  <c r="P5" i="38"/>
  <c r="P6" i="38"/>
  <c r="P2" i="38"/>
  <c r="D1" i="38"/>
  <c r="C3" i="38" s="1"/>
  <c r="E4" i="39" s="1"/>
  <c r="G53" i="10"/>
  <c r="H53" i="10" s="1"/>
  <c r="C4" i="38" l="1"/>
  <c r="G54" i="10"/>
  <c r="G55" i="10" s="1"/>
  <c r="E51" i="2" s="1"/>
  <c r="F4" i="38"/>
  <c r="F5" i="38"/>
  <c r="F6" i="38"/>
  <c r="F3" i="38"/>
  <c r="F7" i="38"/>
  <c r="I3" i="38" l="1"/>
  <c r="F4" i="39"/>
  <c r="C5" i="38"/>
  <c r="Q10" i="2"/>
  <c r="I21" i="10"/>
  <c r="Z70" i="10"/>
  <c r="Z69" i="10"/>
  <c r="Z68" i="10"/>
  <c r="Z67" i="10"/>
  <c r="Z66" i="10"/>
  <c r="Z65" i="10"/>
  <c r="Z64" i="10"/>
  <c r="Z63" i="10"/>
  <c r="Z62" i="10"/>
  <c r="Z61" i="10"/>
  <c r="Z60" i="10"/>
  <c r="Z59" i="10"/>
  <c r="Z58" i="10"/>
  <c r="Z57" i="10"/>
  <c r="Z56" i="10"/>
  <c r="Z55" i="10"/>
  <c r="C6" i="38" l="1"/>
  <c r="G4" i="39"/>
  <c r="F223" i="10"/>
  <c r="I223" i="10" s="1"/>
  <c r="C7" i="38" l="1"/>
  <c r="H4" i="39"/>
  <c r="G223" i="10"/>
  <c r="H223" i="10"/>
  <c r="C8" i="38" l="1"/>
  <c r="I4" i="39"/>
  <c r="P29" i="4"/>
  <c r="C9" i="38" l="1"/>
  <c r="J4" i="39"/>
  <c r="C4" i="37"/>
  <c r="C4" i="36"/>
  <c r="C4" i="35" s="1"/>
  <c r="B194" i="10"/>
  <c r="B193" i="10"/>
  <c r="C10" i="38" l="1"/>
  <c r="K4" i="39"/>
  <c r="C218" i="10"/>
  <c r="C210" i="10"/>
  <c r="F121" i="10"/>
  <c r="E121" i="10"/>
  <c r="D121" i="10"/>
  <c r="C121" i="10"/>
  <c r="C11" i="38" l="1"/>
  <c r="L4" i="39"/>
  <c r="C12" i="38" l="1"/>
  <c r="M4" i="39"/>
  <c r="C13" i="38" l="1"/>
  <c r="O4" i="39" s="1"/>
  <c r="N4" i="39"/>
  <c r="C194" i="10"/>
  <c r="C193" i="10"/>
  <c r="A189" i="10"/>
  <c r="A188" i="10"/>
  <c r="A186" i="10" l="1"/>
  <c r="A185" i="10"/>
  <c r="B22" i="26" l="1"/>
  <c r="B27" i="26" s="1"/>
  <c r="B12" i="35" l="1"/>
  <c r="B13" i="35" s="1"/>
  <c r="B14" i="35" s="1"/>
  <c r="B15" i="35" s="1"/>
  <c r="B16" i="35" s="1"/>
  <c r="B17" i="35" s="1"/>
  <c r="B29" i="26"/>
  <c r="B36" i="26"/>
  <c r="F17" i="34" l="1"/>
  <c r="F16" i="34"/>
  <c r="F15" i="34"/>
  <c r="F14" i="34"/>
  <c r="F13" i="34"/>
  <c r="F12" i="34"/>
  <c r="F11" i="34"/>
  <c r="F10" i="34"/>
  <c r="F9" i="34"/>
  <c r="F8" i="34"/>
  <c r="F7" i="34"/>
  <c r="F6" i="34"/>
  <c r="G17" i="34"/>
  <c r="G16" i="34"/>
  <c r="G15" i="34"/>
  <c r="G14" i="34"/>
  <c r="G13" i="34"/>
  <c r="G12" i="34"/>
  <c r="G11" i="34"/>
  <c r="G10" i="34"/>
  <c r="G9" i="34"/>
  <c r="G8" i="34"/>
  <c r="G7" i="34"/>
  <c r="G6" i="34"/>
  <c r="G5" i="34"/>
  <c r="G4" i="34"/>
  <c r="H4" i="34" s="1"/>
  <c r="G3" i="34"/>
  <c r="H3" i="34" s="1"/>
  <c r="F5" i="34"/>
  <c r="B25" i="34"/>
  <c r="B26" i="34"/>
  <c r="B27" i="34"/>
  <c r="B28" i="34"/>
  <c r="B24" i="34"/>
  <c r="F25" i="34"/>
  <c r="F26" i="34"/>
  <c r="F27" i="34"/>
  <c r="F28" i="34"/>
  <c r="F24" i="34"/>
  <c r="G25" i="34"/>
  <c r="G26" i="34"/>
  <c r="G27" i="34"/>
  <c r="G28" i="34"/>
  <c r="G24" i="34"/>
  <c r="G31" i="34"/>
  <c r="G32" i="34"/>
  <c r="G33" i="34"/>
  <c r="G34" i="34"/>
  <c r="G35" i="34"/>
  <c r="G30" i="34"/>
  <c r="B31" i="34"/>
  <c r="B32" i="34"/>
  <c r="B33" i="34"/>
  <c r="B34" i="34"/>
  <c r="B35" i="34"/>
  <c r="B30" i="34"/>
  <c r="F31" i="34"/>
  <c r="F32" i="34"/>
  <c r="F33" i="34"/>
  <c r="F34" i="34"/>
  <c r="F35" i="34"/>
  <c r="F30" i="34"/>
  <c r="H47" i="34"/>
  <c r="H48" i="34"/>
  <c r="H46" i="34"/>
  <c r="G39" i="34"/>
  <c r="G40" i="34"/>
  <c r="G41" i="34"/>
  <c r="G42" i="34"/>
  <c r="G43" i="34"/>
  <c r="G44" i="34"/>
  <c r="G38" i="34"/>
  <c r="F39" i="34"/>
  <c r="F40" i="34"/>
  <c r="F41" i="34"/>
  <c r="F42" i="34"/>
  <c r="F43" i="34"/>
  <c r="F44" i="34"/>
  <c r="F38" i="34"/>
  <c r="B39" i="34"/>
  <c r="B40" i="34"/>
  <c r="B41" i="34"/>
  <c r="B42" i="34"/>
  <c r="B43" i="34"/>
  <c r="B44" i="34"/>
  <c r="B38" i="34"/>
  <c r="G51" i="34"/>
  <c r="G52" i="34"/>
  <c r="G53" i="34"/>
  <c r="G54" i="34"/>
  <c r="G55" i="34"/>
  <c r="G50" i="34"/>
  <c r="F51" i="34"/>
  <c r="F52" i="34"/>
  <c r="F53" i="34"/>
  <c r="F54" i="34"/>
  <c r="F55" i="34"/>
  <c r="F50" i="34"/>
  <c r="G64" i="34"/>
  <c r="F64" i="34"/>
  <c r="G63" i="34"/>
  <c r="F63" i="34"/>
  <c r="G61" i="34"/>
  <c r="F61" i="34"/>
  <c r="B84" i="34"/>
  <c r="G110" i="34"/>
  <c r="G109" i="34"/>
  <c r="F110" i="34"/>
  <c r="F109" i="34"/>
  <c r="B110" i="34"/>
  <c r="B109" i="34"/>
  <c r="G107" i="34"/>
  <c r="F107" i="34"/>
  <c r="B107" i="34"/>
  <c r="G88" i="34"/>
  <c r="G89" i="34"/>
  <c r="G90" i="34"/>
  <c r="G91" i="34"/>
  <c r="G92" i="34"/>
  <c r="G93" i="34"/>
  <c r="G94" i="34"/>
  <c r="G95" i="34"/>
  <c r="G96" i="34"/>
  <c r="G97" i="34"/>
  <c r="G98" i="34"/>
  <c r="G99" i="34"/>
  <c r="G100" i="34"/>
  <c r="G101" i="34"/>
  <c r="G102" i="34"/>
  <c r="G87" i="34"/>
  <c r="F88" i="34"/>
  <c r="F89" i="34"/>
  <c r="F90" i="34"/>
  <c r="F91" i="34"/>
  <c r="F92" i="34"/>
  <c r="F93" i="34"/>
  <c r="F94" i="34"/>
  <c r="F95" i="34"/>
  <c r="F96" i="34"/>
  <c r="F97" i="34"/>
  <c r="F98" i="34"/>
  <c r="F99" i="34"/>
  <c r="F100" i="34"/>
  <c r="F101" i="34"/>
  <c r="F102" i="34"/>
  <c r="F87" i="34"/>
  <c r="E88" i="34"/>
  <c r="E89" i="34"/>
  <c r="E90" i="34"/>
  <c r="E91" i="34"/>
  <c r="E92" i="34"/>
  <c r="E93" i="34"/>
  <c r="E94" i="34"/>
  <c r="E95" i="34"/>
  <c r="E96" i="34"/>
  <c r="E97" i="34"/>
  <c r="E98" i="34"/>
  <c r="E99" i="34"/>
  <c r="E100" i="34"/>
  <c r="E101" i="34"/>
  <c r="E102" i="34"/>
  <c r="E87" i="34"/>
  <c r="D88" i="34"/>
  <c r="D89" i="34"/>
  <c r="D90" i="34"/>
  <c r="D91" i="34"/>
  <c r="D92" i="34"/>
  <c r="D93" i="34"/>
  <c r="D94" i="34"/>
  <c r="D95" i="34"/>
  <c r="D96" i="34"/>
  <c r="D97" i="34"/>
  <c r="D98" i="34"/>
  <c r="D99" i="34"/>
  <c r="D100" i="34"/>
  <c r="D101" i="34"/>
  <c r="D102" i="34"/>
  <c r="D87" i="34"/>
  <c r="C88" i="34"/>
  <c r="C89" i="34"/>
  <c r="C90" i="34"/>
  <c r="C91" i="34"/>
  <c r="C92" i="34"/>
  <c r="C93" i="34"/>
  <c r="C94" i="34"/>
  <c r="C95" i="34"/>
  <c r="C96" i="34"/>
  <c r="C97" i="34"/>
  <c r="C98" i="34"/>
  <c r="C99" i="34"/>
  <c r="C100" i="34"/>
  <c r="C101" i="34"/>
  <c r="C102" i="34"/>
  <c r="C87" i="34"/>
  <c r="B88" i="34"/>
  <c r="B89" i="34"/>
  <c r="B90" i="34"/>
  <c r="B91" i="34"/>
  <c r="B92" i="34"/>
  <c r="B93" i="34"/>
  <c r="B94" i="34"/>
  <c r="B95" i="34"/>
  <c r="B96" i="34"/>
  <c r="B97" i="34"/>
  <c r="B98" i="34"/>
  <c r="B99" i="34"/>
  <c r="B100" i="34"/>
  <c r="B101" i="34"/>
  <c r="B102" i="34"/>
  <c r="B87" i="34"/>
  <c r="H5" i="34" l="1"/>
  <c r="H9" i="34"/>
  <c r="H15" i="34"/>
  <c r="H10" i="34"/>
  <c r="H16" i="34"/>
  <c r="H11" i="34"/>
  <c r="H17" i="34"/>
  <c r="H6" i="34"/>
  <c r="H12" i="34"/>
  <c r="H7" i="34"/>
  <c r="H13" i="34"/>
  <c r="H8" i="34"/>
  <c r="H14" i="34"/>
  <c r="L36" i="5"/>
  <c r="H43" i="34" s="1"/>
  <c r="M36" i="5" l="1"/>
  <c r="O52" i="10" l="1"/>
  <c r="P46" i="10" s="1"/>
  <c r="G27" i="10" s="1"/>
  <c r="C245" i="10" s="1"/>
  <c r="O51" i="10"/>
  <c r="P45" i="10" s="1"/>
  <c r="F27" i="10" s="1"/>
  <c r="C244" i="10" s="1"/>
  <c r="O50" i="10"/>
  <c r="P44" i="10" s="1"/>
  <c r="E27" i="10" s="1"/>
  <c r="C243" i="10" s="1"/>
  <c r="O49" i="10"/>
  <c r="P43" i="10" s="1"/>
  <c r="D27" i="10" s="1"/>
  <c r="C242" i="10" s="1"/>
  <c r="O48" i="10"/>
  <c r="P42" i="10" s="1"/>
  <c r="C27" i="10" s="1"/>
  <c r="C241" i="10" s="1"/>
  <c r="L36" i="10" l="1"/>
  <c r="E8" i="2"/>
  <c r="Q12" i="2" l="1"/>
  <c r="F12" i="2"/>
  <c r="Q42" i="2"/>
  <c r="Q16" i="2"/>
  <c r="Q14" i="2"/>
  <c r="F1" i="10"/>
  <c r="B191" i="10" l="1"/>
  <c r="J129" i="10"/>
  <c r="L34" i="5"/>
  <c r="H41" i="34" s="1"/>
  <c r="L32" i="5"/>
  <c r="H39" i="34" s="1"/>
  <c r="Q12" i="37" l="1"/>
  <c r="M34" i="5"/>
  <c r="M32" i="5"/>
  <c r="S12" i="10" l="1"/>
  <c r="L33" i="11" l="1"/>
  <c r="L32" i="11"/>
  <c r="L31" i="11"/>
  <c r="L30" i="11"/>
  <c r="L35" i="5"/>
  <c r="L37" i="5"/>
  <c r="M33" i="11" l="1"/>
  <c r="H58" i="34"/>
  <c r="M32" i="11"/>
  <c r="H57" i="34"/>
  <c r="M31" i="11"/>
  <c r="H56" i="34"/>
  <c r="M30" i="11"/>
  <c r="H55" i="34"/>
  <c r="M37" i="5"/>
  <c r="H44" i="34"/>
  <c r="M35" i="5"/>
  <c r="H42" i="34"/>
  <c r="F30" i="2" l="1"/>
  <c r="O11" i="4" l="1"/>
  <c r="P11" i="4" s="1"/>
  <c r="O12" i="4"/>
  <c r="P12" i="4" s="1"/>
  <c r="O13" i="4"/>
  <c r="P13" i="4" s="1"/>
  <c r="O14" i="4"/>
  <c r="P14" i="4" s="1"/>
  <c r="O15" i="4"/>
  <c r="P15" i="4" s="1"/>
  <c r="O20" i="4"/>
  <c r="P20" i="4" s="1"/>
  <c r="O21" i="4"/>
  <c r="P21" i="4" s="1"/>
  <c r="O24" i="4"/>
  <c r="P24" i="4" s="1"/>
  <c r="O25" i="4"/>
  <c r="P25" i="4" s="1"/>
  <c r="O10" i="4"/>
  <c r="P10" i="4" s="1"/>
  <c r="H101" i="34" l="1"/>
  <c r="H97" i="34"/>
  <c r="H92" i="34"/>
  <c r="H91" i="34"/>
  <c r="H98" i="34"/>
  <c r="H102" i="34"/>
  <c r="H88" i="34"/>
  <c r="H90" i="34"/>
  <c r="H89" i="34"/>
  <c r="H87" i="34"/>
  <c r="O40" i="3"/>
  <c r="O39" i="3"/>
  <c r="I42" i="10"/>
  <c r="H8" i="2" l="1"/>
  <c r="I1" i="10" l="1"/>
  <c r="L33" i="5"/>
  <c r="L21" i="5"/>
  <c r="L22" i="5"/>
  <c r="L23" i="5"/>
  <c r="L24" i="5"/>
  <c r="M23" i="5" l="1"/>
  <c r="H27" i="34"/>
  <c r="M22" i="5"/>
  <c r="H26" i="34"/>
  <c r="M24" i="5"/>
  <c r="H28" i="34"/>
  <c r="M21" i="5"/>
  <c r="H25" i="34"/>
  <c r="M33" i="5"/>
  <c r="H40" i="34"/>
  <c r="J1" i="10"/>
  <c r="L15" i="11"/>
  <c r="L16" i="11"/>
  <c r="L17" i="11"/>
  <c r="L18" i="11"/>
  <c r="L19" i="11"/>
  <c r="L26" i="11"/>
  <c r="L27" i="11"/>
  <c r="L28" i="11"/>
  <c r="L29" i="11"/>
  <c r="L34" i="11"/>
  <c r="L39" i="11"/>
  <c r="M34" i="11" l="1"/>
  <c r="H59" i="34"/>
  <c r="M29" i="11"/>
  <c r="H54" i="34"/>
  <c r="M28" i="11"/>
  <c r="H53" i="34"/>
  <c r="M27" i="11"/>
  <c r="H52" i="34"/>
  <c r="M26" i="11"/>
  <c r="H51" i="34"/>
  <c r="M18" i="11"/>
  <c r="H34" i="34"/>
  <c r="M17" i="11"/>
  <c r="H33" i="34"/>
  <c r="M16" i="11"/>
  <c r="H32" i="34"/>
  <c r="M15" i="11"/>
  <c r="H31" i="34"/>
  <c r="M19" i="11"/>
  <c r="H35" i="34"/>
  <c r="M39" i="11"/>
  <c r="H110" i="34"/>
  <c r="L25" i="11"/>
  <c r="H50" i="34" s="1"/>
  <c r="L31" i="5"/>
  <c r="H38" i="34" s="1"/>
  <c r="F3" i="10"/>
  <c r="F2" i="10"/>
  <c r="K140" i="10" l="1"/>
  <c r="D43" i="27" s="1"/>
  <c r="B231" i="10"/>
  <c r="C21" i="35"/>
  <c r="C10" i="5"/>
  <c r="C11" i="36"/>
  <c r="C29" i="36"/>
  <c r="C47" i="36"/>
  <c r="D10" i="33"/>
  <c r="D20" i="27" s="1"/>
  <c r="G6" i="5"/>
  <c r="M54" i="5" s="1"/>
  <c r="J43" i="10"/>
  <c r="G49" i="10"/>
  <c r="F49" i="10"/>
  <c r="C26" i="13" l="1"/>
  <c r="C61" i="2"/>
  <c r="C53" i="3"/>
  <c r="C61" i="5"/>
  <c r="C44" i="17"/>
  <c r="C21" i="6"/>
  <c r="C43" i="4"/>
  <c r="C35" i="14"/>
  <c r="C16" i="37"/>
  <c r="C65" i="36"/>
  <c r="C25" i="35"/>
  <c r="J14" i="13"/>
  <c r="K138" i="10"/>
  <c r="Q36" i="2"/>
  <c r="Q29" i="2"/>
  <c r="F105" i="10"/>
  <c r="C14" i="38"/>
  <c r="P4" i="39" s="1"/>
  <c r="I38" i="38"/>
  <c r="I14" i="38"/>
  <c r="I26" i="38"/>
  <c r="C10" i="13"/>
  <c r="C5" i="37"/>
  <c r="C5" i="2"/>
  <c r="C114" i="10"/>
  <c r="D8" i="33"/>
  <c r="C5" i="35"/>
  <c r="C5" i="36"/>
  <c r="I50" i="10"/>
  <c r="C43" i="27" l="1"/>
  <c r="C15" i="38"/>
  <c r="Q4" i="39" s="1"/>
  <c r="H213" i="10"/>
  <c r="H202" i="10"/>
  <c r="H199" i="10"/>
  <c r="F201" i="10"/>
  <c r="F209" i="10"/>
  <c r="G200" i="10"/>
  <c r="G208" i="10"/>
  <c r="H214" i="10"/>
  <c r="H203" i="10"/>
  <c r="F213" i="10"/>
  <c r="G209" i="10"/>
  <c r="H215" i="10"/>
  <c r="H204" i="10"/>
  <c r="F214" i="10"/>
  <c r="F203" i="10"/>
  <c r="G213" i="10"/>
  <c r="G202" i="10"/>
  <c r="G199" i="10"/>
  <c r="H216" i="10"/>
  <c r="H205" i="10"/>
  <c r="F215" i="10"/>
  <c r="F204" i="10"/>
  <c r="G214" i="10"/>
  <c r="G203" i="10"/>
  <c r="H217" i="10"/>
  <c r="H206" i="10"/>
  <c r="F216" i="10"/>
  <c r="F205" i="10"/>
  <c r="G215" i="10"/>
  <c r="G204" i="10"/>
  <c r="F200" i="10"/>
  <c r="G207" i="10"/>
  <c r="G201" i="10"/>
  <c r="H212" i="10"/>
  <c r="H207" i="10"/>
  <c r="F217" i="10"/>
  <c r="F206" i="10"/>
  <c r="G216" i="10"/>
  <c r="G205" i="10"/>
  <c r="H209" i="10"/>
  <c r="G212" i="10"/>
  <c r="F199" i="10"/>
  <c r="H200" i="10"/>
  <c r="H208" i="10"/>
  <c r="F212" i="10"/>
  <c r="F207" i="10"/>
  <c r="G217" i="10"/>
  <c r="G206" i="10"/>
  <c r="H201" i="10"/>
  <c r="F208" i="10"/>
  <c r="F202" i="10"/>
  <c r="D114" i="10"/>
  <c r="F114" i="10" s="1"/>
  <c r="A37" i="27" s="1"/>
  <c r="B130" i="10"/>
  <c r="B131" i="10"/>
  <c r="B132" i="10"/>
  <c r="B133" i="10"/>
  <c r="B134" i="10"/>
  <c r="B135" i="10"/>
  <c r="B136" i="10"/>
  <c r="B137" i="10"/>
  <c r="B138" i="10"/>
  <c r="B139" i="10"/>
  <c r="B140" i="10"/>
  <c r="B141" i="10"/>
  <c r="B142" i="10"/>
  <c r="B143" i="10"/>
  <c r="B144" i="10"/>
  <c r="B129" i="10"/>
  <c r="D130" i="10"/>
  <c r="D131" i="10"/>
  <c r="D132" i="10"/>
  <c r="D133" i="10"/>
  <c r="D134" i="10"/>
  <c r="D135" i="10"/>
  <c r="D136" i="10"/>
  <c r="D137" i="10"/>
  <c r="D138" i="10"/>
  <c r="D139" i="10"/>
  <c r="D140" i="10"/>
  <c r="D141" i="10"/>
  <c r="D142" i="10"/>
  <c r="D143" i="10"/>
  <c r="D144" i="10"/>
  <c r="D129" i="10"/>
  <c r="C130" i="10"/>
  <c r="C131" i="10"/>
  <c r="C132" i="10"/>
  <c r="C133" i="10"/>
  <c r="E133" i="10" s="1"/>
  <c r="C134" i="10"/>
  <c r="E134" i="10" s="1"/>
  <c r="C135" i="10"/>
  <c r="E135" i="10" s="1"/>
  <c r="C136" i="10"/>
  <c r="E136" i="10" s="1"/>
  <c r="C137" i="10"/>
  <c r="E137" i="10" s="1"/>
  <c r="C138" i="10"/>
  <c r="E138" i="10" s="1"/>
  <c r="C139" i="10"/>
  <c r="E139" i="10" s="1"/>
  <c r="C140" i="10"/>
  <c r="E140" i="10" s="1"/>
  <c r="C141" i="10"/>
  <c r="E141" i="10" s="1"/>
  <c r="C142" i="10"/>
  <c r="E142" i="10" s="1"/>
  <c r="C143" i="10"/>
  <c r="E143" i="10" s="1"/>
  <c r="C144" i="10"/>
  <c r="C129" i="10"/>
  <c r="C16" i="38" l="1"/>
  <c r="E132" i="10"/>
  <c r="E144" i="10"/>
  <c r="E130" i="10"/>
  <c r="H114" i="10"/>
  <c r="G114" i="10"/>
  <c r="G210" i="10"/>
  <c r="G218" i="10"/>
  <c r="G138" i="10"/>
  <c r="I138" i="10"/>
  <c r="H138" i="10"/>
  <c r="F138" i="10"/>
  <c r="H130" i="10"/>
  <c r="G130" i="10"/>
  <c r="I130" i="10"/>
  <c r="F130" i="10"/>
  <c r="H139" i="10"/>
  <c r="F139" i="10"/>
  <c r="G139" i="10"/>
  <c r="I139" i="10"/>
  <c r="I129" i="10"/>
  <c r="F129" i="10"/>
  <c r="H137" i="10"/>
  <c r="F137" i="10"/>
  <c r="G137" i="10"/>
  <c r="I137" i="10"/>
  <c r="H144" i="10"/>
  <c r="F144" i="10"/>
  <c r="G144" i="10"/>
  <c r="I144" i="10"/>
  <c r="H136" i="10"/>
  <c r="F136" i="10"/>
  <c r="G136" i="10"/>
  <c r="I136" i="10"/>
  <c r="I143" i="10"/>
  <c r="H143" i="10"/>
  <c r="F143" i="10"/>
  <c r="G143" i="10"/>
  <c r="H135" i="10"/>
  <c r="G135" i="10"/>
  <c r="I135" i="10"/>
  <c r="F135" i="10"/>
  <c r="H142" i="10"/>
  <c r="F142" i="10"/>
  <c r="G142" i="10"/>
  <c r="I142" i="10"/>
  <c r="I134" i="10"/>
  <c r="H134" i="10"/>
  <c r="F134" i="10"/>
  <c r="G134" i="10"/>
  <c r="H131" i="10"/>
  <c r="G131" i="10"/>
  <c r="H141" i="10"/>
  <c r="F141" i="10"/>
  <c r="G141" i="10"/>
  <c r="I141" i="10"/>
  <c r="H133" i="10"/>
  <c r="F133" i="10"/>
  <c r="G133" i="10"/>
  <c r="I133" i="10"/>
  <c r="H140" i="10"/>
  <c r="F140" i="10"/>
  <c r="G140" i="10"/>
  <c r="I140" i="10"/>
  <c r="H132" i="10"/>
  <c r="F132" i="10"/>
  <c r="G132" i="10"/>
  <c r="I132" i="10"/>
  <c r="E131" i="10"/>
  <c r="F131" i="10" s="1"/>
  <c r="E129" i="10"/>
  <c r="G129" i="10" s="1"/>
  <c r="H14" i="13"/>
  <c r="C17" i="38" l="1"/>
  <c r="R4" i="39"/>
  <c r="I131" i="10"/>
  <c r="I145" i="10" s="1"/>
  <c r="C11" i="33" s="1"/>
  <c r="H129" i="10"/>
  <c r="H145" i="10" s="1"/>
  <c r="C9" i="33" s="1"/>
  <c r="K23" i="13"/>
  <c r="H61" i="34"/>
  <c r="G145" i="10"/>
  <c r="F145" i="10"/>
  <c r="E30" i="2"/>
  <c r="E31" i="2"/>
  <c r="B10" i="34" s="1"/>
  <c r="E32" i="2"/>
  <c r="E33" i="2"/>
  <c r="B16" i="34" s="1"/>
  <c r="C18" i="38" l="1"/>
  <c r="S4" i="39"/>
  <c r="C8" i="33"/>
  <c r="L138" i="10"/>
  <c r="C10" i="33"/>
  <c r="L140" i="10"/>
  <c r="B13" i="34"/>
  <c r="Q30" i="2"/>
  <c r="B7" i="34"/>
  <c r="E40" i="2"/>
  <c r="P12" i="38"/>
  <c r="E39" i="2"/>
  <c r="P11" i="38"/>
  <c r="E38" i="2"/>
  <c r="P10" i="38"/>
  <c r="E37" i="2"/>
  <c r="P9" i="38"/>
  <c r="E114" i="10"/>
  <c r="C19" i="38" l="1"/>
  <c r="T4" i="39"/>
  <c r="P18" i="38"/>
  <c r="B17" i="34"/>
  <c r="P17" i="38"/>
  <c r="B14" i="34"/>
  <c r="P16" i="38"/>
  <c r="B11" i="34"/>
  <c r="P15" i="38"/>
  <c r="B8" i="34"/>
  <c r="J47" i="10"/>
  <c r="D93" i="10"/>
  <c r="L36" i="26" l="1"/>
  <c r="B122" i="34" s="1"/>
  <c r="K53" i="10"/>
  <c r="J53" i="10"/>
  <c r="C20" i="38"/>
  <c r="U4" i="39"/>
  <c r="N31" i="3"/>
  <c r="H54" i="10" l="1"/>
  <c r="H55" i="10" s="1"/>
  <c r="F51" i="2" s="1"/>
  <c r="I54" i="10"/>
  <c r="C21" i="38"/>
  <c r="V4" i="39"/>
  <c r="J54" i="10"/>
  <c r="J55" i="10" s="1"/>
  <c r="H51" i="2" s="1"/>
  <c r="L38" i="10"/>
  <c r="F1" i="38"/>
  <c r="G8" i="2"/>
  <c r="O33" i="3"/>
  <c r="E29" i="2"/>
  <c r="B4" i="34" s="1"/>
  <c r="L20" i="5"/>
  <c r="H24" i="34" s="1"/>
  <c r="E50" i="3"/>
  <c r="C22" i="38" l="1"/>
  <c r="W4" i="39"/>
  <c r="I55" i="10"/>
  <c r="G51" i="2" s="1"/>
  <c r="E36" i="2"/>
  <c r="B5" i="34" s="1"/>
  <c r="P8" i="38"/>
  <c r="L38" i="11"/>
  <c r="M14" i="11"/>
  <c r="C23" i="38" l="1"/>
  <c r="X4" i="39"/>
  <c r="D9" i="39"/>
  <c r="L51" i="2"/>
  <c r="M38" i="11"/>
  <c r="H109" i="34"/>
  <c r="H30" i="34"/>
  <c r="K55" i="10"/>
  <c r="P14" i="38"/>
  <c r="N18" i="3"/>
  <c r="F31" i="2"/>
  <c r="F32" i="2"/>
  <c r="F33" i="2"/>
  <c r="F29" i="2"/>
  <c r="C24" i="38" l="1"/>
  <c r="Y4" i="39"/>
  <c r="O42" i="3"/>
  <c r="N48" i="3"/>
  <c r="M48" i="3"/>
  <c r="M20" i="5"/>
  <c r="C25" i="38" l="1"/>
  <c r="Z4" i="39"/>
  <c r="H107" i="34"/>
  <c r="I106" i="34" s="1"/>
  <c r="AA4" i="39" l="1"/>
  <c r="C26" i="38"/>
  <c r="N40" i="2"/>
  <c r="N39" i="2"/>
  <c r="N38" i="2"/>
  <c r="N37" i="2"/>
  <c r="N36" i="2"/>
  <c r="N33" i="2"/>
  <c r="Q33" i="2" s="1"/>
  <c r="N32" i="2"/>
  <c r="Q32" i="2" s="1"/>
  <c r="N31" i="2"/>
  <c r="Q31" i="2" s="1"/>
  <c r="N30" i="2"/>
  <c r="Q9" i="38" s="1"/>
  <c r="N29" i="2"/>
  <c r="N26" i="2"/>
  <c r="N25" i="2"/>
  <c r="C27" i="38" l="1"/>
  <c r="AB4" i="39"/>
  <c r="Q39" i="2"/>
  <c r="Q17" i="38"/>
  <c r="Q37" i="2"/>
  <c r="Q15" i="38"/>
  <c r="Q38" i="2"/>
  <c r="Q16" i="38"/>
  <c r="Q40" i="2"/>
  <c r="Q18" i="38"/>
  <c r="Q11" i="38"/>
  <c r="Q12" i="38"/>
  <c r="Q10" i="38"/>
  <c r="Q6" i="38"/>
  <c r="Q5" i="38"/>
  <c r="Q14" i="38"/>
  <c r="Q8" i="38"/>
  <c r="O22" i="4"/>
  <c r="P22" i="4" s="1"/>
  <c r="M50" i="3"/>
  <c r="AC4" i="39" l="1"/>
  <c r="C28" i="38"/>
  <c r="H99" i="34"/>
  <c r="M3" i="38"/>
  <c r="D17" i="38" s="1"/>
  <c r="N3" i="38"/>
  <c r="M4" i="38"/>
  <c r="N4" i="38"/>
  <c r="O23" i="4"/>
  <c r="P23" i="4" s="1"/>
  <c r="E58" i="5"/>
  <c r="E55" i="5"/>
  <c r="C29" i="38" l="1"/>
  <c r="AD4" i="39"/>
  <c r="H100" i="34"/>
  <c r="D16" i="38"/>
  <c r="D26" i="38"/>
  <c r="D18" i="38"/>
  <c r="D24" i="38"/>
  <c r="D23" i="38"/>
  <c r="D22" i="38"/>
  <c r="D25" i="38"/>
  <c r="D19" i="38"/>
  <c r="D21" i="38"/>
  <c r="D20" i="38"/>
  <c r="E25" i="38"/>
  <c r="E23" i="38"/>
  <c r="E18" i="38"/>
  <c r="E16" i="38"/>
  <c r="E19" i="38"/>
  <c r="E26" i="38"/>
  <c r="E20" i="38"/>
  <c r="E22" i="38"/>
  <c r="E17" i="38"/>
  <c r="E24" i="38"/>
  <c r="E21" i="38"/>
  <c r="D39" i="38"/>
  <c r="D31" i="38"/>
  <c r="D34" i="38"/>
  <c r="D38" i="38"/>
  <c r="D33" i="38"/>
  <c r="D35" i="38"/>
  <c r="D32" i="38"/>
  <c r="D27" i="38"/>
  <c r="D36" i="38"/>
  <c r="D29" i="38"/>
  <c r="D37" i="38"/>
  <c r="D30" i="38"/>
  <c r="D28" i="38"/>
  <c r="E39" i="38"/>
  <c r="E37" i="38"/>
  <c r="E27" i="38"/>
  <c r="E34" i="38"/>
  <c r="E38" i="38"/>
  <c r="E29" i="38"/>
  <c r="E33" i="38"/>
  <c r="E32" i="38"/>
  <c r="E30" i="38"/>
  <c r="E28" i="38"/>
  <c r="E31" i="38"/>
  <c r="E35" i="38"/>
  <c r="E36" i="38"/>
  <c r="E56" i="5"/>
  <c r="E40" i="4"/>
  <c r="C30" i="38" l="1"/>
  <c r="AE4" i="39"/>
  <c r="M31" i="5"/>
  <c r="C31" i="38" l="1"/>
  <c r="AF4" i="39"/>
  <c r="C32" i="38" l="1"/>
  <c r="AG4" i="39"/>
  <c r="M25" i="11"/>
  <c r="M13" i="6"/>
  <c r="M12" i="6"/>
  <c r="M11" i="6"/>
  <c r="C33" i="38" l="1"/>
  <c r="AH4" i="39"/>
  <c r="Q56" i="2"/>
  <c r="Q18" i="2"/>
  <c r="M3" i="10"/>
  <c r="M4" i="10"/>
  <c r="M5" i="10"/>
  <c r="S45" i="10"/>
  <c r="S50" i="10"/>
  <c r="S51" i="10"/>
  <c r="S53" i="10"/>
  <c r="S41" i="10"/>
  <c r="S43" i="10"/>
  <c r="S46" i="10"/>
  <c r="S42" i="10"/>
  <c r="S47" i="10"/>
  <c r="S44" i="10"/>
  <c r="S48" i="10"/>
  <c r="S38" i="10"/>
  <c r="S39" i="10"/>
  <c r="S49" i="10"/>
  <c r="S40" i="10"/>
  <c r="S52" i="10"/>
  <c r="R45" i="10"/>
  <c r="R50" i="10"/>
  <c r="R51" i="10"/>
  <c r="R53" i="10"/>
  <c r="R41" i="10"/>
  <c r="R43" i="10"/>
  <c r="R46" i="10"/>
  <c r="R42" i="10"/>
  <c r="R47" i="10"/>
  <c r="R44" i="10"/>
  <c r="R48" i="10"/>
  <c r="R38" i="10"/>
  <c r="R39" i="10"/>
  <c r="R49" i="10"/>
  <c r="R40" i="10"/>
  <c r="R52" i="10"/>
  <c r="O44" i="10"/>
  <c r="C34" i="38" l="1"/>
  <c r="AI4" i="39"/>
  <c r="O45" i="10"/>
  <c r="F21" i="10" s="1"/>
  <c r="C238" i="10" s="1"/>
  <c r="Q26" i="2" s="1"/>
  <c r="O46" i="10"/>
  <c r="G21" i="10" s="1"/>
  <c r="C239" i="10" s="1"/>
  <c r="O43" i="10"/>
  <c r="D21" i="10" s="1"/>
  <c r="E21" i="10"/>
  <c r="C237" i="10" s="1"/>
  <c r="Q25" i="2" s="1"/>
  <c r="O42" i="10"/>
  <c r="C21" i="10" s="1"/>
  <c r="E23" i="13"/>
  <c r="L40" i="11"/>
  <c r="N16" i="35" s="1"/>
  <c r="N15" i="35" s="1"/>
  <c r="L35" i="11"/>
  <c r="L20" i="11"/>
  <c r="L14" i="6"/>
  <c r="K18" i="6" s="1"/>
  <c r="E18" i="6"/>
  <c r="K58" i="5"/>
  <c r="L25" i="5"/>
  <c r="K55" i="5" s="1"/>
  <c r="N50" i="3"/>
  <c r="O50" i="3" s="1"/>
  <c r="O48" i="3"/>
  <c r="C48" i="2"/>
  <c r="E49" i="3"/>
  <c r="E48" i="3"/>
  <c r="N22" i="2"/>
  <c r="N23" i="2"/>
  <c r="N24" i="2"/>
  <c r="L24" i="14" l="1"/>
  <c r="N14" i="35"/>
  <c r="L42" i="11"/>
  <c r="N11" i="35"/>
  <c r="N10" i="35" s="1"/>
  <c r="M46" i="11"/>
  <c r="L18" i="6"/>
  <c r="M18" i="6" s="1"/>
  <c r="V8" i="10" s="1"/>
  <c r="S8" i="10" s="1"/>
  <c r="C8" i="6"/>
  <c r="C35" i="38"/>
  <c r="AJ4" i="39"/>
  <c r="I23" i="34"/>
  <c r="C235" i="10"/>
  <c r="Q22" i="2" s="1"/>
  <c r="C236" i="10"/>
  <c r="Q24" i="2" s="1"/>
  <c r="Q4" i="38"/>
  <c r="Q3" i="38"/>
  <c r="Q2" i="38"/>
  <c r="H64" i="34"/>
  <c r="H63" i="34"/>
  <c r="O19" i="4"/>
  <c r="P19" i="4" s="1"/>
  <c r="N49" i="3"/>
  <c r="O49" i="3" s="1"/>
  <c r="M49" i="3"/>
  <c r="L55" i="5"/>
  <c r="L23" i="13"/>
  <c r="M23" i="13" s="1"/>
  <c r="L58" i="5"/>
  <c r="M58" i="5" s="1"/>
  <c r="L38" i="5"/>
  <c r="K56" i="5" s="1"/>
  <c r="L56" i="5" s="1"/>
  <c r="M56" i="5" s="1"/>
  <c r="O17" i="4"/>
  <c r="P17" i="4" s="1"/>
  <c r="O16" i="4"/>
  <c r="P16" i="4" s="1"/>
  <c r="L27" i="14" l="1"/>
  <c r="L25" i="14"/>
  <c r="M32" i="14" s="1"/>
  <c r="F6" i="5"/>
  <c r="C7" i="5" s="1"/>
  <c r="M55" i="5"/>
  <c r="C36" i="38"/>
  <c r="AK4" i="39"/>
  <c r="H94" i="34"/>
  <c r="H93" i="34"/>
  <c r="H96" i="34"/>
  <c r="V10" i="10"/>
  <c r="S10" i="10" s="1"/>
  <c r="V5" i="10"/>
  <c r="S5" i="10" s="1"/>
  <c r="I37" i="34"/>
  <c r="Q23" i="2"/>
  <c r="M2" i="38"/>
  <c r="N2" i="38"/>
  <c r="E15" i="38" s="1"/>
  <c r="I18" i="10"/>
  <c r="M42" i="11" l="1"/>
  <c r="V9" i="10" s="1"/>
  <c r="S9" i="10" s="1"/>
  <c r="C43" i="11"/>
  <c r="V7" i="10"/>
  <c r="V11" i="10"/>
  <c r="C28" i="14"/>
  <c r="N12" i="35"/>
  <c r="D10" i="38"/>
  <c r="D15" i="38"/>
  <c r="C37" i="38"/>
  <c r="AL4" i="39"/>
  <c r="D14" i="38"/>
  <c r="D7" i="38"/>
  <c r="D3" i="38"/>
  <c r="D5" i="38"/>
  <c r="D9" i="38"/>
  <c r="D12" i="38"/>
  <c r="D4" i="38"/>
  <c r="D6" i="38"/>
  <c r="D13" i="38"/>
  <c r="D11" i="38"/>
  <c r="D8" i="38"/>
  <c r="E5" i="38"/>
  <c r="E6" i="38"/>
  <c r="E7" i="38"/>
  <c r="E14" i="38"/>
  <c r="E10" i="38"/>
  <c r="E12" i="38"/>
  <c r="E13" i="38"/>
  <c r="E3" i="38"/>
  <c r="E11" i="38"/>
  <c r="E9" i="38"/>
  <c r="E8" i="38"/>
  <c r="E4" i="38"/>
  <c r="L40" i="10"/>
  <c r="F50" i="2"/>
  <c r="O18" i="4"/>
  <c r="P18" i="4" s="1"/>
  <c r="S7" i="10" l="1"/>
  <c r="S11" i="10"/>
  <c r="C38" i="38"/>
  <c r="AM4" i="39"/>
  <c r="E16" i="34"/>
  <c r="E10" i="34"/>
  <c r="E4" i="34"/>
  <c r="E13" i="34"/>
  <c r="E7" i="34"/>
  <c r="O26" i="4"/>
  <c r="J40" i="4" s="1"/>
  <c r="O40" i="4" s="1"/>
  <c r="P40" i="4" s="1"/>
  <c r="H95" i="34"/>
  <c r="I86" i="34" s="1"/>
  <c r="C45" i="2"/>
  <c r="G17" i="6"/>
  <c r="H47" i="3"/>
  <c r="G22" i="13"/>
  <c r="D117" i="10"/>
  <c r="G54" i="5"/>
  <c r="G39" i="4"/>
  <c r="L44" i="10"/>
  <c r="E50" i="2"/>
  <c r="G50" i="2"/>
  <c r="H50" i="2"/>
  <c r="C39" i="38" l="1"/>
  <c r="K2" i="38" s="1"/>
  <c r="AN4" i="39"/>
  <c r="P34" i="4"/>
  <c r="E17" i="34"/>
  <c r="E11" i="34"/>
  <c r="E5" i="34"/>
  <c r="E14" i="34"/>
  <c r="E8" i="34"/>
  <c r="E15" i="34"/>
  <c r="E9" i="34"/>
  <c r="E3" i="34"/>
  <c r="E6" i="34"/>
  <c r="E12" i="34"/>
  <c r="I39" i="4"/>
  <c r="L47" i="3"/>
  <c r="I17" i="6"/>
  <c r="I54" i="5"/>
  <c r="L47" i="10"/>
  <c r="I22" i="13"/>
  <c r="L46" i="10"/>
  <c r="F117" i="10"/>
  <c r="F39" i="4"/>
  <c r="G47" i="3"/>
  <c r="L43" i="10"/>
  <c r="C117" i="10"/>
  <c r="F17" i="6"/>
  <c r="F22" i="13"/>
  <c r="F54" i="5"/>
  <c r="H17" i="6"/>
  <c r="H22" i="13"/>
  <c r="L45" i="10"/>
  <c r="H54" i="5"/>
  <c r="E117" i="10"/>
  <c r="J47" i="3"/>
  <c r="H39" i="4"/>
  <c r="J120" i="10"/>
  <c r="J119" i="10"/>
  <c r="K5" i="38" l="1"/>
  <c r="K4" i="38"/>
  <c r="G5" i="38"/>
  <c r="G52" i="2" s="1"/>
  <c r="H6" i="38"/>
  <c r="H53" i="2" s="1"/>
  <c r="H7" i="38"/>
  <c r="H5" i="38"/>
  <c r="G53" i="2" s="1"/>
  <c r="H4" i="38"/>
  <c r="F53" i="2" s="1"/>
  <c r="G4" i="38"/>
  <c r="F52" i="2" s="1"/>
  <c r="G3" i="38"/>
  <c r="G7" i="38"/>
  <c r="K3" i="38"/>
  <c r="G6" i="38"/>
  <c r="H52" i="2" s="1"/>
  <c r="H3" i="38"/>
  <c r="F118" i="10"/>
  <c r="V6" i="10"/>
  <c r="S6" i="10" s="1"/>
  <c r="C118" i="10"/>
  <c r="J123" i="10"/>
  <c r="J124" i="10"/>
  <c r="J118" i="10"/>
  <c r="J117" i="10"/>
  <c r="J121" i="10"/>
  <c r="J122" i="10"/>
  <c r="E52" i="2" l="1"/>
  <c r="G8" i="38"/>
  <c r="H20" i="34" s="1"/>
  <c r="E53" i="2"/>
  <c r="H8" i="38"/>
  <c r="H21" i="34" s="1"/>
  <c r="F120" i="10"/>
  <c r="F119" i="10"/>
  <c r="C120" i="10"/>
  <c r="C119" i="10"/>
  <c r="E118" i="10"/>
  <c r="E119" i="10" s="1"/>
  <c r="D118" i="10"/>
  <c r="D119" i="10" s="1"/>
  <c r="I111" i="34" l="1"/>
  <c r="C122" i="10"/>
  <c r="D120" i="10"/>
  <c r="S4" i="10"/>
  <c r="E120" i="10"/>
  <c r="L53" i="2"/>
  <c r="L52" i="2"/>
  <c r="X3" i="10" l="1"/>
  <c r="I7" i="35" s="1"/>
  <c r="X4" i="10"/>
  <c r="I8" i="35" s="1"/>
  <c r="M5" i="17" s="1"/>
  <c r="X7" i="10"/>
  <c r="T9" i="35" l="1"/>
  <c r="N17" i="35"/>
  <c r="Y2" i="10" s="1"/>
  <c r="C23" i="35" s="1"/>
</calcChain>
</file>

<file path=xl/sharedStrings.xml><?xml version="1.0" encoding="utf-8"?>
<sst xmlns="http://schemas.openxmlformats.org/spreadsheetml/2006/main" count="1095" uniqueCount="682">
  <si>
    <t>Eingruppierung</t>
  </si>
  <si>
    <t>Wochenstunden</t>
  </si>
  <si>
    <t>monatl. Zuschläge</t>
  </si>
  <si>
    <t>Personalstelle 1</t>
  </si>
  <si>
    <t>Ggf. Personalstelle 2</t>
  </si>
  <si>
    <t>Ggf. Personalstelle 3</t>
  </si>
  <si>
    <t>Summe</t>
  </si>
  <si>
    <t>E1 bis E11</t>
  </si>
  <si>
    <t>E12 bis E15</t>
  </si>
  <si>
    <t>Hinweis:</t>
  </si>
  <si>
    <t>Geschäftsbedarf (Pos. F0839)</t>
  </si>
  <si>
    <t>Ausgaben in Euro</t>
  </si>
  <si>
    <t>Literatur (Pos. F0840)</t>
  </si>
  <si>
    <t>Art der Dienstreise</t>
  </si>
  <si>
    <t>Zweck der Dienstreise</t>
  </si>
  <si>
    <t>Bundesreisekostengesetz</t>
  </si>
  <si>
    <t>Landesreisekostengesetz</t>
  </si>
  <si>
    <t>Summe:</t>
  </si>
  <si>
    <t>Position</t>
  </si>
  <si>
    <t xml:space="preserve">kurze Beschreibung der Art der Ausgaben, die für den Beteiligungsprozesses kalkuliert werden </t>
  </si>
  <si>
    <t>Anzahl Arbeitstage</t>
  </si>
  <si>
    <t>Tagessatz ext. Dienstleister</t>
  </si>
  <si>
    <t>Betrag</t>
  </si>
  <si>
    <t>Personal</t>
  </si>
  <si>
    <t>F0831</t>
  </si>
  <si>
    <t>F0850</t>
  </si>
  <si>
    <t>F0835</t>
  </si>
  <si>
    <t>F0812</t>
  </si>
  <si>
    <t>F0817</t>
  </si>
  <si>
    <t>Dauer der Dienstreise in Tagen</t>
  </si>
  <si>
    <t>Anzahl Monate</t>
  </si>
  <si>
    <t>Monatssumme</t>
  </si>
  <si>
    <t>Bezeichnung</t>
  </si>
  <si>
    <t>EG 11</t>
  </si>
  <si>
    <t>Bitte beachten Sie, sollten uns Ihre Angaben unplausibel erscheinen, kann es ggf. notwendig sein, dass wir eine Stellenbewertung zu der von Ihnen beantragten Personalstelle / Entgeltgruppe nachfragen. Mit Stellenbewertung ist in diesem Fall die Begründung für die Zuordnung einer Stelle zu einer bestimmten Entgeltgruppe (z. B. E11) gemeint. Dieses Dokument wird in der Regel durch die Personalabteilung erstellt. Grundlage der Bewertung ist die differenzierte Erfassung der mit der Stelle verbundenen Leistungen und Anforderungen auf der Grundlage einer Stellenbeschreibung.</t>
  </si>
  <si>
    <t>Bahncard Preise</t>
  </si>
  <si>
    <t>Bahncard 25</t>
  </si>
  <si>
    <t>Bahncard 50</t>
  </si>
  <si>
    <t>Bahncard 100</t>
  </si>
  <si>
    <t>€ Pro Jahr</t>
  </si>
  <si>
    <t>Pos. F0831</t>
  </si>
  <si>
    <t>Pos. F0839</t>
  </si>
  <si>
    <t>Pos. F0840</t>
  </si>
  <si>
    <t>Netzwerktreffen</t>
  </si>
  <si>
    <t>Sonstige DR</t>
  </si>
  <si>
    <t>Weiterqualifizierung</t>
  </si>
  <si>
    <t>Dauer der Dienstreise</t>
  </si>
  <si>
    <t>Gegenstände</t>
  </si>
  <si>
    <t>Optionale Ausfüllfelder</t>
  </si>
  <si>
    <t>Pflichtfelder (Auswahl- u. Ausfüllfelder)</t>
  </si>
  <si>
    <t>Personalgruppe</t>
  </si>
  <si>
    <t>EG 9b</t>
  </si>
  <si>
    <t>EG 10</t>
  </si>
  <si>
    <t>EG 12</t>
  </si>
  <si>
    <t>EG 13</t>
  </si>
  <si>
    <t>PS1</t>
  </si>
  <si>
    <t>PS2</t>
  </si>
  <si>
    <t>PS3</t>
  </si>
  <si>
    <t>EG12-13</t>
  </si>
  <si>
    <t>Weitere Sachausgaben:</t>
  </si>
  <si>
    <t>Geplanter Dienstantritt:</t>
  </si>
  <si>
    <t>Richtig ausgefülltes Auswahl- oder Ausfüllfeld</t>
  </si>
  <si>
    <t>Wichtige Ergebnisse u. Hinweise</t>
  </si>
  <si>
    <t>Gesperrte, bzw. berechnete Felder</t>
  </si>
  <si>
    <t xml:space="preserve"> besetzt bis:</t>
  </si>
  <si>
    <t>Erfahrungsstufe Dropdown</t>
  </si>
  <si>
    <t>Druckerpatronen, -toner</t>
  </si>
  <si>
    <t>Kopierpapier</t>
  </si>
  <si>
    <t>bitte auswählen</t>
  </si>
  <si>
    <t>Nach welchem Tarifvertrag soll das beantragte Personal vergütet werden?</t>
  </si>
  <si>
    <t>Tarife:</t>
  </si>
  <si>
    <t>TV-L</t>
  </si>
  <si>
    <t>BAT</t>
  </si>
  <si>
    <t>Haustarifvertrag</t>
  </si>
  <si>
    <t>Sonstige</t>
  </si>
  <si>
    <t>Genaue Bezeichnung:</t>
  </si>
  <si>
    <t>Einzelpreis</t>
  </si>
  <si>
    <t>Gesamtpreis</t>
  </si>
  <si>
    <t>Sonstiges:</t>
  </si>
  <si>
    <t>Weitere Sachausgaben</t>
  </si>
  <si>
    <t>Tarifvertrag</t>
  </si>
  <si>
    <t>Wenn die Ausgaben für Literatur unter 250 € liegen, kann auf eine detailierte Aufschlüsselung verzichtet werden.</t>
  </si>
  <si>
    <t>Wenn die Ausgaben unter 600 € liegen, kann auf eine detailierte Aufschlüsselung verzichtet werden.</t>
  </si>
  <si>
    <t>Wenn die Ausgaben für Literatur über 250 € liegen, geben Sie bitte die genauen Bezeichnungen und Ausgaben ein.</t>
  </si>
  <si>
    <t>Wenn die Ausgaben höher als 600 € sind, geben Sie bitte die genauen Bezeichnungen und Ausgaben für den Geschäftsbedarf ein.</t>
  </si>
  <si>
    <t>Porto</t>
  </si>
  <si>
    <t>Checkbox:</t>
  </si>
  <si>
    <t>CB_ws1:</t>
  </si>
  <si>
    <t>CB_ws2:</t>
  </si>
  <si>
    <t>Pos. F0841</t>
  </si>
  <si>
    <t>Differenz</t>
  </si>
  <si>
    <t>Dienstreisen und Qualifizierung</t>
  </si>
  <si>
    <t>Summe der Ausgaben</t>
  </si>
  <si>
    <t>Bürokleinmaterial &lt; 5,00 € Einzelwert (z.B. Stifte, Radiergummi, Lineal, Ordner, …)</t>
  </si>
  <si>
    <t>Bürokleinmaterial &lt; 25,00 € Einzelwert (z.B. Locher, Hefter, Stempelkissen, Taschenrechner, ...)</t>
  </si>
  <si>
    <t>Bezeichnung (Detail)</t>
  </si>
  <si>
    <t>Aufteilung der Ausgaben über die Projektjahre</t>
  </si>
  <si>
    <t>DuQ_cb1:</t>
  </si>
  <si>
    <t>DuQ_cb2:</t>
  </si>
  <si>
    <t>Pos. F0844</t>
  </si>
  <si>
    <t>Pos. F0835</t>
  </si>
  <si>
    <t>Pos. F0850</t>
  </si>
  <si>
    <t>Akteursbeteiligung</t>
  </si>
  <si>
    <t>CB_Ak_1:</t>
  </si>
  <si>
    <t>Konzeptfertigstellung</t>
  </si>
  <si>
    <t>Begleitende Öffentlichkeitsarbeit</t>
  </si>
  <si>
    <t>Begl_Öffentlichkeitsarbeit</t>
  </si>
  <si>
    <t>CB_Oe_1:</t>
  </si>
  <si>
    <t>Professionelle Prozessunterstützung</t>
  </si>
  <si>
    <t>Prozessunterstützung</t>
  </si>
  <si>
    <t>CB_Pr_1:</t>
  </si>
  <si>
    <t>Externe Konzepterstellung</t>
  </si>
  <si>
    <t>CB_Ext_1:</t>
  </si>
  <si>
    <t>externe Konzepterstellung</t>
  </si>
  <si>
    <t>DuQ_cb3:</t>
  </si>
  <si>
    <t>Personal: Sonderzahlungen</t>
  </si>
  <si>
    <t>West</t>
  </si>
  <si>
    <t>Entgeldgruppe</t>
  </si>
  <si>
    <t>E13-E15</t>
  </si>
  <si>
    <t>E9-E12</t>
  </si>
  <si>
    <t>Ost</t>
  </si>
  <si>
    <t>Formularblattaktivierung</t>
  </si>
  <si>
    <t>Bundesland:</t>
  </si>
  <si>
    <t>Bundesland</t>
  </si>
  <si>
    <t xml:space="preserve">Schleswig-Holstein </t>
  </si>
  <si>
    <t xml:space="preserve">Hamburg </t>
  </si>
  <si>
    <t>Niedersachsen</t>
  </si>
  <si>
    <t>Bremen</t>
  </si>
  <si>
    <t>Nordrhein-Westfalen</t>
  </si>
  <si>
    <t>Hessen</t>
  </si>
  <si>
    <t>Rheinland-Pfalz</t>
  </si>
  <si>
    <t>Baden-Württemberg</t>
  </si>
  <si>
    <t>Bayern</t>
  </si>
  <si>
    <t>Saarland</t>
  </si>
  <si>
    <t>Berlin</t>
  </si>
  <si>
    <t>Brandenburg</t>
  </si>
  <si>
    <t>Mecklenburg-Vorpommern</t>
  </si>
  <si>
    <t>Sachsen</t>
  </si>
  <si>
    <t>Sachsen-Anhalt</t>
  </si>
  <si>
    <t>Thüringen</t>
  </si>
  <si>
    <t>Gehalt gerissen</t>
  </si>
  <si>
    <t>Zusatzzahlung gerissen</t>
  </si>
  <si>
    <t>Personalstelle 2</t>
  </si>
  <si>
    <t>Personalstelle 3</t>
  </si>
  <si>
    <t>Welche Entgeldgruppe? 1=E9-E12, 2=E13-E15</t>
  </si>
  <si>
    <t>Achtung: Die angegebenen monatlichen Zuschläge der Personalstelle 1 überschreiten die zuwendungsfähige monatliche Obergrenze!</t>
  </si>
  <si>
    <t>Achtung: Die angegebenen monatlichen Zuschläge der Personalstelle 2 überschreiten die zuwendungsfähige monatliche Obergrenze!</t>
  </si>
  <si>
    <t>Achtung: Die angegebenen monatlichen Zuschläge der Personalstelle 3 überschreiten die zuwendungsfähige monatliche Obergrenze!</t>
  </si>
  <si>
    <t>Prüfung</t>
  </si>
  <si>
    <t>weitere Sachausgaben</t>
  </si>
  <si>
    <t>Ext_Konzepterstellung</t>
  </si>
  <si>
    <t>Status</t>
  </si>
  <si>
    <t>Meldung:</t>
  </si>
  <si>
    <r>
      <rPr>
        <b/>
        <sz val="9"/>
        <color theme="1"/>
        <rFont val="Arial"/>
        <family val="2"/>
      </rPr>
      <t>Hinweis zu Position F0831:</t>
    </r>
    <r>
      <rPr>
        <sz val="9"/>
        <color theme="1"/>
        <rFont val="Arial"/>
        <family val="2"/>
      </rPr>
      <t xml:space="preserve">
Nicht-zuwendungsfähig sind Ausgaben für bewegliche Gegenstände, die der Grundausstattung zuzuordnen sind.</t>
    </r>
  </si>
  <si>
    <t xml:space="preserve">nachvollziehbare Herleitung der Ausgaben, die für begleitende Öffentlichkeitsarbeit kalkuliert werden </t>
  </si>
  <si>
    <t>Sonstiges</t>
  </si>
  <si>
    <t>prof. Prozessunterstützung</t>
  </si>
  <si>
    <t>Prozessunterstützung Dropdowns</t>
  </si>
  <si>
    <t>Identifizierung von Maßnahmen und die Erstellung des Maßnahmenkatalogs</t>
  </si>
  <si>
    <t>Verbreitung des Klimaschutzgedankens und Reflexion des Transformationsprozesses</t>
  </si>
  <si>
    <t>Mobilisierung von Verwaltung, Akteuren wie z. B. Bürgerinnen und Bürgern oder Unternehmen für den kommunalen Klimaschutz</t>
  </si>
  <si>
    <t>Design, Durchführung und Moderation von Prozessen und Veranstaltungen zurInformation und Beteiligung</t>
  </si>
  <si>
    <t>Design, Durchführung und Moderation von Wissensmanagement innerhalb der Verwaltung und der gesamten Kommune/Institution</t>
  </si>
  <si>
    <t>Konzipierung von Partizipations- und Kooperationsprozessen</t>
  </si>
  <si>
    <t>Betreuung von Arbeitsgruppen, Netzwerken u. ä.</t>
  </si>
  <si>
    <t>Erarbeitung von Ideen und Strategien zur Initiierung von Partnerschaften verschiedener Akteure</t>
  </si>
  <si>
    <t>Strategien zur effizienten interkommunalen Vernetzung</t>
  </si>
  <si>
    <t>Erarbeitung von Strategien für Maßnahmen der Presse- und Öffentlichkeitsarbeit</t>
  </si>
  <si>
    <t>Design, Durchführung und Moderation von Umweltbildungsprozessen und -projekten</t>
  </si>
  <si>
    <t>Monatliche Obergrenze Stand 8/2018</t>
  </si>
  <si>
    <t>Bekannt/Unbekannt:</t>
  </si>
  <si>
    <t>ab</t>
  </si>
  <si>
    <t>detail. Analyse verwaltungsinterner und -externer Akteure sowie Erarbeitung akteursspezifischer Strategien der Kommunikation, Mobilisierung und Erwartungsmanagement</t>
  </si>
  <si>
    <t>Unterstützung des KSM bei der Potenzialanalyse und Szenarienentwicklung</t>
  </si>
  <si>
    <t>Unterstützung des KSM bei Energie- und THG-Bilanz</t>
  </si>
  <si>
    <t>Sonstige Tätigkeit</t>
  </si>
  <si>
    <t>Prof. Prozessunterstützung:</t>
  </si>
  <si>
    <t>Vorhabentitel:</t>
  </si>
  <si>
    <t>Basisdaten</t>
  </si>
  <si>
    <t>Ausgabenübersicht</t>
  </si>
  <si>
    <t>Anmerkungen</t>
  </si>
  <si>
    <t>professionelle Prozessunterstützung</t>
  </si>
  <si>
    <t>Thema:</t>
  </si>
  <si>
    <t>Bei weiteren Anmerkungen nutzen Sie bitte das Tabellenblatt "Anmerkungen"</t>
  </si>
  <si>
    <t>Dienstreisen Inland (Pos. F0844)</t>
  </si>
  <si>
    <t>Vergabe von Aufträgen</t>
  </si>
  <si>
    <t>Vergabe von Aufträgen (Position F0835)</t>
  </si>
  <si>
    <t>Ausgaben für Prozessunterstützung (Vergabe von Aufträgen, Pos. F0835)</t>
  </si>
  <si>
    <t>Ausgaben für Konzeptfertigstellung max. 5.000€ (Vergabe von Aufträgen, Pos. F0835)</t>
  </si>
  <si>
    <t>TVöD</t>
  </si>
  <si>
    <t>Stufe</t>
  </si>
  <si>
    <t>Personalausgaben  (Pos. F0812 / F0817)</t>
  </si>
  <si>
    <t>Ggf. Personalstelle 4</t>
  </si>
  <si>
    <t>Ggf. Personalstelle 5</t>
  </si>
  <si>
    <t>Ausgewähltes JahrBeginn:</t>
  </si>
  <si>
    <t>Ausgewähltes JahrEnde:</t>
  </si>
  <si>
    <t>Restmonate im aktuellen Jahr:</t>
  </si>
  <si>
    <t>Jahresscheiben</t>
  </si>
  <si>
    <t>PS4</t>
  </si>
  <si>
    <t>PS5</t>
  </si>
  <si>
    <t>Jahr1</t>
  </si>
  <si>
    <t>Jahr3</t>
  </si>
  <si>
    <t>Personalstelle 4</t>
  </si>
  <si>
    <t>Personalstelle 5</t>
  </si>
  <si>
    <t>E 13</t>
  </si>
  <si>
    <t>E 12</t>
  </si>
  <si>
    <t>E 11</t>
  </si>
  <si>
    <t>E 10</t>
  </si>
  <si>
    <t>E 9c</t>
  </si>
  <si>
    <t>E 9b</t>
  </si>
  <si>
    <t>E 9a</t>
  </si>
  <si>
    <t>Obergrenzen Stufe 2 Tvöd, (gerundet, Stand: 08/2018)</t>
  </si>
  <si>
    <t>Weitere Sachausgaben (Pos. F0841)</t>
  </si>
  <si>
    <t>Art des Verkehrsmittels</t>
  </si>
  <si>
    <t>Anzahl</t>
  </si>
  <si>
    <t>Stückpreis</t>
  </si>
  <si>
    <t>Bsp.: Bereitstellung eines barrierefreien Zugangs zum Konzept in elektronischer Form</t>
  </si>
  <si>
    <t>Ja</t>
  </si>
  <si>
    <t>Nein</t>
  </si>
  <si>
    <t xml:space="preserve"> </t>
  </si>
  <si>
    <t>Personal1</t>
  </si>
  <si>
    <t>ÖPNV</t>
  </si>
  <si>
    <t>privater PKW</t>
  </si>
  <si>
    <t>Jahr2</t>
  </si>
  <si>
    <t>Gegenstände &gt;800 €</t>
  </si>
  <si>
    <t>Dienstreisen: Netzwerk und Info/fachveranstaltung:</t>
  </si>
  <si>
    <t>Anschlussvorhaben</t>
  </si>
  <si>
    <t>Vorhabenart:</t>
  </si>
  <si>
    <t>Arbeitsplan</t>
  </si>
  <si>
    <t>Erfolgskontrollplan</t>
  </si>
  <si>
    <t>Integriertes Konzept</t>
  </si>
  <si>
    <t>Erstvorhaben</t>
  </si>
  <si>
    <t>Projektlaufzeit:</t>
  </si>
  <si>
    <t>Summe Projektlaufzeit (Monate -1)</t>
  </si>
  <si>
    <t>Berechnungen für Arbeitsplan:</t>
  </si>
  <si>
    <t>Definitionen:</t>
  </si>
  <si>
    <t>Variablen:</t>
  </si>
  <si>
    <t>Einheit</t>
  </si>
  <si>
    <t>1VZÄ=</t>
  </si>
  <si>
    <t>h/Woche</t>
  </si>
  <si>
    <t>Arbeitstage/Monat</t>
  </si>
  <si>
    <t>d</t>
  </si>
  <si>
    <t>Tage(VZÄ)/Stelle/Jahr</t>
  </si>
  <si>
    <t>Obergrenze</t>
  </si>
  <si>
    <t>Untergrenze (-15%)</t>
  </si>
  <si>
    <t>Berechnung:</t>
  </si>
  <si>
    <t>d/y</t>
  </si>
  <si>
    <t>Verteilung Jahresscheiben</t>
  </si>
  <si>
    <t>Jahr</t>
  </si>
  <si>
    <t>besetzte Monate</t>
  </si>
  <si>
    <t>Obergrenze / Jahr</t>
  </si>
  <si>
    <t>Eingabe:</t>
  </si>
  <si>
    <t>Fall1</t>
  </si>
  <si>
    <t>Hinweise</t>
  </si>
  <si>
    <t>Anzahl der Dienstreisen diesen Typs</t>
  </si>
  <si>
    <t>Produkt</t>
  </si>
  <si>
    <t>Dienstreisen Tabelle Berechnung</t>
  </si>
  <si>
    <r>
      <rPr>
        <b/>
        <sz val="9"/>
        <color theme="1"/>
        <rFont val="Arial"/>
        <family val="2"/>
      </rPr>
      <t>Bitte teilen Sie uns mit</t>
    </r>
    <r>
      <rPr>
        <sz val="9"/>
        <color theme="1"/>
        <rFont val="Arial"/>
        <family val="2"/>
      </rPr>
      <t>, auf Grundlage welcher Regelung die Ausgaben für Dienstreisen abgerechnet werden.</t>
    </r>
  </si>
  <si>
    <t>Basisdaten eingabe:</t>
  </si>
  <si>
    <t>Konzept:</t>
  </si>
  <si>
    <t>Richtlinie:</t>
  </si>
  <si>
    <t>Konzept erstellt:</t>
  </si>
  <si>
    <t>Dienstwagen</t>
  </si>
  <si>
    <t>Förderquoten:</t>
  </si>
  <si>
    <t>Datum:</t>
  </si>
  <si>
    <t>Übergangsregelung</t>
  </si>
  <si>
    <t>(normales) Erstvorhaben</t>
  </si>
  <si>
    <t>(normales) Anschlussvorhaben</t>
  </si>
  <si>
    <t>Tabellenblatt</t>
  </si>
  <si>
    <t>Hinweis zu</t>
  </si>
  <si>
    <t>prof:Prozessunterstützung</t>
  </si>
  <si>
    <t>Das Tabellenblatt "Hinweis" nur für UGR einblenden</t>
  </si>
  <si>
    <t>Das Tabellenblatt "Hinweis" ausblenden</t>
  </si>
  <si>
    <t>kein zusätzlicher Hinweis notwendig</t>
  </si>
  <si>
    <t>kein zusätzlicher Hinweis notwendig, da ausgeblendet</t>
  </si>
  <si>
    <t>Zuwendungsfähig sind Ausgaben für fachkundige externer Dienstleister zur Unterstützung bei der Erstellung der Treibhausgasbilanzierung und der Berechnung von Potenzialen und Szenarien
im Rahmen der Konzepterstellung. 
Die hier angesetzten Ausgaben und Arbeitstage sollten denen aus der Arbeitsplanung (VHB, S. 5, Tab. "1.Konzepterstellung") entsprechen.</t>
  </si>
  <si>
    <t>aus fachlicher Sicht kein zusätzlicher Hinweis notwendig</t>
  </si>
  <si>
    <t>IK</t>
  </si>
  <si>
    <t>TK</t>
  </si>
  <si>
    <t>Konzept &lt;36M:</t>
  </si>
  <si>
    <t>Ausnahme aktualisiertes Konzept</t>
  </si>
  <si>
    <t>Sie beantragen die Erstellung eines Klimaschutzkonzeptes durch ein Klimaschutzmanagement im Förderbereich 2.7.1.</t>
  </si>
  <si>
    <t>EG 9c</t>
  </si>
  <si>
    <t>dem 31.12.2018 aktualisiert</t>
  </si>
  <si>
    <t>Ausgabenobergrenzen:</t>
  </si>
  <si>
    <t>begl_Öffentlichkeitsarbeit:</t>
  </si>
  <si>
    <t>Akteursbeteiligung:</t>
  </si>
  <si>
    <t>prozunterstützung:</t>
  </si>
  <si>
    <r>
      <rPr>
        <b/>
        <sz val="9"/>
        <color theme="1"/>
        <rFont val="Arial"/>
        <family val="2"/>
      </rPr>
      <t>Hinweis:</t>
    </r>
    <r>
      <rPr>
        <sz val="9"/>
        <color theme="1"/>
        <rFont val="Arial"/>
        <family val="2"/>
      </rPr>
      <t xml:space="preserve">
Sollten Ausgaben für eine Bahncard beantragt werden, reichen Sie bitte eine gesonderte Vergleichsrechnung ein. Aus dieser sollte hervorgehen, dass sich die Ausgaben für die beantragte Bahncard innerhalb der Projektlaufzeit amortisieren.</t>
    </r>
  </si>
  <si>
    <t xml:space="preserve">Wir beantragen die Förderung der Ausgaben für eine </t>
  </si>
  <si>
    <t>in Höhe von (aktueller Preis):</t>
  </si>
  <si>
    <t>Ausgaben für Verkehrsmittel je Reise</t>
  </si>
  <si>
    <t xml:space="preserve">Ausgaben für Übernachtung u. Tagegeld je Reise </t>
  </si>
  <si>
    <t>Ausgaben für Teilnahmegebühren je Veranstaltung</t>
  </si>
  <si>
    <t>Monatssatz</t>
  </si>
  <si>
    <t>Hiermit bestätigen wir, dass nur Ausgaben für Geschäftsbedarf, Literatur und weitere Sachausgaben einkalkuliert werden, die in der Abrechnung direkt dem Vorhaben zugeordnet werden können und für die ein Zahlungsfluss nach extern nachgewiesen werden kann.</t>
  </si>
  <si>
    <t>easy-Online-Formular</t>
  </si>
  <si>
    <t>Finanzposition</t>
  </si>
  <si>
    <t>Projektjahr 1</t>
  </si>
  <si>
    <t>Projektjahr 2</t>
  </si>
  <si>
    <t>Projektjahr 3</t>
  </si>
  <si>
    <t>Bitte verteilen Sie die Ausgaben für Dienstreisen entsprechend auf die Projektjahre:</t>
  </si>
  <si>
    <t>Bitte geben Sie beispielhaft die Bezeichnung eines Buchtitels an</t>
  </si>
  <si>
    <t>Liste in Anschlussvorhaben</t>
  </si>
  <si>
    <t>neue Maßnahme aus Konzept</t>
  </si>
  <si>
    <t>weiterentwickelte Maßnahme</t>
  </si>
  <si>
    <t>neue Maßnahmenschritte zu Maßnahme aus dem Konzept</t>
  </si>
  <si>
    <t>neu entwickelte Maßnahme</t>
  </si>
  <si>
    <t>die nicht im Konzept aufgeführt war</t>
  </si>
  <si>
    <t>Daueraufgaben</t>
  </si>
  <si>
    <t>kontinuierliche Maßnahme</t>
  </si>
  <si>
    <t>bitte erläutern</t>
  </si>
  <si>
    <t>Das Konzept wurde durch das geförderte Klimaschutzmanagement im Erstvorhaben erstellt</t>
  </si>
  <si>
    <t>Erst., Anschlussvorhaben</t>
  </si>
  <si>
    <r>
      <rPr>
        <b/>
        <sz val="9"/>
        <color theme="1"/>
        <rFont val="Arial"/>
        <family val="2"/>
      </rPr>
      <t>Hinweise:</t>
    </r>
    <r>
      <rPr>
        <sz val="9"/>
        <color theme="1"/>
        <rFont val="Arial"/>
        <family val="2"/>
      </rPr>
      <t xml:space="preserve">
Bitte beachten Sie, dass Sie bei der Kalkulation der Personalausgaben das sozialversicherungspflichtige</t>
    </r>
    <r>
      <rPr>
        <b/>
        <sz val="9"/>
        <color theme="1"/>
        <rFont val="Arial"/>
        <family val="2"/>
      </rPr>
      <t xml:space="preserve"> Arbeitgeber-Brutto-Gehalt </t>
    </r>
    <r>
      <rPr>
        <sz val="9"/>
        <color theme="1"/>
        <rFont val="Arial"/>
        <family val="2"/>
      </rPr>
      <t xml:space="preserve">(inkl. u.a. Kranken- und Pflegeversicherung, Rentenversicherung, Arbeitgeberanteile usw.) ansetzen. Das Monatsgehalt ist getrennt von den monatlichen Zuschlägen (s.u.) auszuweisen.
Gemäß Haushalts- und Wirtschaftsführung des Bundes darf bei Beantragung von namentlich nicht bekanntem Personal (sog. N.N.-Personal) maximal der Höchstbetrag der jeweiligen Entgeltgruppe mit der Erfahrungsstufe 2 des TVöD angesetzt werden.
Dazu können Sie im Formularschrank des BMU unter der Rubrik „Zuwendungen auf Ausgabenbasis“ den Vordruck Nr. 0025 entnehmen. Fiktive Tarifsteigerungen dürfen nicht für die Kalkulation der Personalausgaben herangezogen werden.
</t>
    </r>
    <r>
      <rPr>
        <b/>
        <sz val="9"/>
        <color theme="1"/>
        <rFont val="Arial"/>
        <family val="2"/>
      </rPr>
      <t>Monatliche Zuschläge:</t>
    </r>
    <r>
      <rPr>
        <sz val="9"/>
        <color theme="1"/>
        <rFont val="Arial"/>
        <family val="2"/>
      </rPr>
      <t xml:space="preserve">
Die monatlichen Zuschläge können unter anderem aus der Jahressonderzahlung (JSZ) gem. §20 Abs. 1 TVöD und die Zahlung eines Leistungsentgeltes (LOV) gem. §18 TVÖD bestehen, wenn diese vertraglich geregelt sind. Diese Jahressummen sind </t>
    </r>
    <r>
      <rPr>
        <b/>
        <sz val="9"/>
        <color theme="1"/>
        <rFont val="Arial"/>
        <family val="2"/>
      </rPr>
      <t>zu</t>
    </r>
    <r>
      <rPr>
        <sz val="9"/>
        <color theme="1"/>
        <rFont val="Arial"/>
        <family val="2"/>
      </rPr>
      <t xml:space="preserve"> </t>
    </r>
    <r>
      <rPr>
        <b/>
        <sz val="9"/>
        <color theme="1"/>
        <rFont val="Arial"/>
        <family val="2"/>
      </rPr>
      <t>1/12</t>
    </r>
    <r>
      <rPr>
        <sz val="9"/>
        <color theme="1"/>
        <rFont val="Arial"/>
        <family val="2"/>
      </rPr>
      <t xml:space="preserve"> in den monatlichen Zuschlägen zu veranschlagen. 
Weitere Ausgaben wie vermögenswirksame Leistungen können auf die monatlichen Zuschläge angerechnet werden.</t>
    </r>
  </si>
  <si>
    <t>Projektzeitraum:</t>
  </si>
  <si>
    <t>War das vorliegende Konzept älter als 36 Monate und wurde nach dem 01.01.2019 aktualisiert, kann hierfür ein Anschlussvorhaben beantragt werden. Die Dauer des Anschlussvorhabens beträgt für ein Integriertes Konzept 36 Monate und für ein Teilkonzept 24 Monate. Diese Ausnahmeregelung gilt nur für aktualisierte Konzepte.</t>
  </si>
  <si>
    <r>
      <rPr>
        <b/>
        <sz val="9"/>
        <color theme="1"/>
        <rFont val="Arial"/>
        <family val="2"/>
      </rPr>
      <t>Hinweis zu Pos. F0839:</t>
    </r>
    <r>
      <rPr>
        <sz val="9"/>
        <color theme="1"/>
        <rFont val="Arial"/>
        <family val="2"/>
      </rPr>
      <t xml:space="preserve">
Es dürfen lediglich Ausgaben für im Rahmen des Vorhabens benötigte Büromaterialien (Papier, Toner, Stifte, Briefumschläge etc.) angesetzt werden. Generell nicht zuwendungsfähig sind Ausgabenansätze, die zur Grundausstattung des Büroarbeitsplatzes gehören (PC, Telefon, Büromöbel, etc.), sowie anfallende Mietausgaben, Ausgaben für Software und pauschale Ansätze gemäß der Kommunalen Gemeinschaftsstelle für Verwaltungsmanagement (KGSt). </t>
    </r>
  </si>
  <si>
    <t xml:space="preserve">Beteiligungsprozesse haben das Ziel, die Bereitschaft und Akzeptanz für den Klimaschutzprozess und das Klimaschutzengagement aller Akteure zu steigern, um eine Verhaltensänderung zu bewirken, die zu THG-Einsparungen führt. Das Ziel ist eine starke Identifizierung der Bürger*innen und Unternehmen vor Ort mit den Klimaschutzzielen sowie ein größeres Engagement bei der Umsetzung von Maßnahmen und damit bei der Energieeinsparung und der Reduzierung von THG-Emissionen.
Das Klimaschutzmanagement bereitet in Absprache mit den externen Dienstleistern auf die Kommune/Institution zugeschnittene Beteiligungsverfahren vor. Ein wichtiger Baustein hierfür kann auch die Klärung von Beziehungs-management mit den Akteuren sein. Geeignete Beteiligungsverfahren sollen sowohl die Akteure und die Entscheidungsträger*innen im Rahmen von Workshops oder Arbeitskreisen/Beiräten als auch die Bürger*innen einbinden. Dies bedeutet, Maßnahmen werden gemeinsam entwickelt und umgesetzt. Die Unterstützung durch externe Dritte ist auch bei der Durchführung von Beteiligungsprozessen zielführend, wenn bekannte oder erwartete Konflikte zwischen Steakholdern die Beteiligungsprozesse erschweren oder wenn Erfolge nur bei Moderation durch neutrale und sachkundige Dritte zu erwarten sind.
Zuwendungsfähig sind sowohl Ausgaben zur Beschaffung von Materialien für Beteiligungsprozesse als auch Auftragsvergaben an externe Dienstleister.
Bei der Planung von Beteiligung und Mitwirkung im kommunalen Klimaschutz ist auch der Prozess-Wegweiser für Kommunen hilfreich: 
</t>
  </si>
  <si>
    <t>https://prozess-wegweiser.de/</t>
  </si>
  <si>
    <t>Das Konzept wurde durch einen ext. Dienstleister unter den Bedingungen einer bis Ende 2018 gültigen Kommunalrichtlinie erstellt</t>
  </si>
  <si>
    <t xml:space="preserve">Achtung: Dieses Tabellenblatt "Erst-,Anschlussvorhaben"  ist nur auszufüllen und einzureichen, wenn ein Anschlussvorhaben nach Übergangsregelung beantragt wird. </t>
  </si>
  <si>
    <t>Achtung: Nur auszufüllen und einzureichen, wenn noch kein Konzept vorliegt.</t>
  </si>
  <si>
    <t xml:space="preserve">Achtung: Der Erfolgskontrollplan ist nur auszufüllen und einzureichen, wenn bereits ein Konzept vorliegt. </t>
  </si>
  <si>
    <t xml:space="preserve">Achtung: Der Arbeitsplan ist nur auszufüllen und einzureichen, wenn bereits ein Konzept vorliegt. </t>
  </si>
  <si>
    <t>Dienstreisen</t>
  </si>
  <si>
    <t>Eintägig</t>
  </si>
  <si>
    <t>Dienstwagen ?</t>
  </si>
  <si>
    <t>Fach-/Infoveranstaltung</t>
  </si>
  <si>
    <t>Teilnahmegebür</t>
  </si>
  <si>
    <t>Übernachtung + Tagegeld</t>
  </si>
  <si>
    <t>Obergrenzen</t>
  </si>
  <si>
    <t>5/a</t>
  </si>
  <si>
    <t xml:space="preserve">Netzwerktreffen </t>
  </si>
  <si>
    <t>unbegrenzt</t>
  </si>
  <si>
    <t>EV</t>
  </si>
  <si>
    <t>AV</t>
  </si>
  <si>
    <t>6 insg</t>
  </si>
  <si>
    <t>9 insg</t>
  </si>
  <si>
    <t>Idee: Manuelle Obergrenze festlegbar, ansonsten gilt richtlinie.</t>
  </si>
  <si>
    <t>Prüfungen</t>
  </si>
  <si>
    <t xml:space="preserve">geht nicht </t>
  </si>
  <si>
    <t>Fach-Info=</t>
  </si>
  <si>
    <t>Weiterquali</t>
  </si>
  <si>
    <t>Anzahl Fach-/Info</t>
  </si>
  <si>
    <t>Anzahl Weiterqua</t>
  </si>
  <si>
    <t>Anzahl Netzwerktreffen</t>
  </si>
  <si>
    <t>Anzahl Sonstige</t>
  </si>
  <si>
    <t xml:space="preserve">Achtung: Laut Kommunalrichtlinie sind maximal 5 Tage pro Jahr für den Besuch von Fach- und Informationsveranstaltungen vorgesehen. Bitte korrigieren Sie Ihre Angaben. </t>
  </si>
  <si>
    <t>Ausgaben für Verkehrsmittel:</t>
  </si>
  <si>
    <t>Ausgaben für Übernachtung + TG</t>
  </si>
  <si>
    <t>ÖPV</t>
  </si>
  <si>
    <t>Zweitägig</t>
  </si>
  <si>
    <t>Hinweisgrenzen:</t>
  </si>
  <si>
    <r>
      <rPr>
        <b/>
        <sz val="9"/>
        <color theme="1"/>
        <rFont val="Arial"/>
        <family val="2"/>
      </rPr>
      <t>Hinweis:</t>
    </r>
    <r>
      <rPr>
        <sz val="9"/>
        <color theme="1"/>
        <rFont val="Arial"/>
        <family val="2"/>
      </rPr>
      <t xml:space="preserve"> Ausgaben für mobile Endgeräte (Smartphones, etc.), sowie Laptops und Beamer sind grundsätzlich nicht zuwendungsfähig. </t>
    </r>
  </si>
  <si>
    <t>Konzeptaktualisierung wurde nach dem 01.01.2019 an einen externen Dienstleister vergeben, bzw. auf eigene Kosten durchgeführt</t>
  </si>
  <si>
    <t>Position/Bezeichnung</t>
  </si>
  <si>
    <t>Beantragt</t>
  </si>
  <si>
    <t>F0812/F0817 Personal</t>
  </si>
  <si>
    <t>F0817 TVöD/TV-L E1-E11:</t>
  </si>
  <si>
    <t>F0812 TVöD/TV-L E12-E15:</t>
  </si>
  <si>
    <t>F0831 Gegenstände &lt;800€</t>
  </si>
  <si>
    <t>Begl. Öffentlichkeitsarbeit</t>
  </si>
  <si>
    <t>F0835 Vergabe von Aufträgen</t>
  </si>
  <si>
    <t>Begleitende ÖA</t>
  </si>
  <si>
    <t>F0839 Geschäftsbedarf</t>
  </si>
  <si>
    <t>Bürokleinmaterial &lt; 5,00€</t>
  </si>
  <si>
    <t>Bürokleinmaterial &lt; 25,00€</t>
  </si>
  <si>
    <t>Druckerpatronen</t>
  </si>
  <si>
    <t>F0840 Literatur</t>
  </si>
  <si>
    <t>F0841 Weitere Sachausgaben</t>
  </si>
  <si>
    <t>F0844 Dienstreisen</t>
  </si>
  <si>
    <t>Dauer</t>
  </si>
  <si>
    <t>Ausgaben Verkehrsm.</t>
  </si>
  <si>
    <t>Ausgaben Über</t>
  </si>
  <si>
    <t>Ausgaben Teiln.</t>
  </si>
  <si>
    <t>F0850 Gegenstände &gt;800€</t>
  </si>
  <si>
    <t>Antragstellergruppe</t>
  </si>
  <si>
    <t>Antragstellergruppe:</t>
  </si>
  <si>
    <t>Unternehmen mit mind. 25% kommunaler Beteiligung</t>
  </si>
  <si>
    <t>Hochschule</t>
  </si>
  <si>
    <t>Stadt oder Gemeinde</t>
  </si>
  <si>
    <t>Zusammenschluss aus mehreren Städten und Gemeinden</t>
  </si>
  <si>
    <t>Landkreis</t>
  </si>
  <si>
    <t>Schule/Kita</t>
  </si>
  <si>
    <t>Religionsgemeinschaft</t>
  </si>
  <si>
    <t>Jugendwerkstatt, Einrichtung der Kinder- und Jugendhilfe</t>
  </si>
  <si>
    <t>Antragstellerkonstellation</t>
  </si>
  <si>
    <t>a) Landkreis ausschließlich für die eigenen Zuständigkeiten</t>
  </si>
  <si>
    <t>b) Landkreis mit kreisangehörigen Kommunen</t>
  </si>
  <si>
    <t>c) Landkreis nur als Koordinator für kreisangehörige Kommunen</t>
  </si>
  <si>
    <t>d) Zusammenschluss von Städten und Gemeinden</t>
  </si>
  <si>
    <t>Bitte reichen Sie uns mit dem Antrag eine Kooperationsvereinbarung aller Partner zur Zusammenarbeit mit allen Unterschriften ein. Ebenfalls wird eine schriftliche Bestätigung benötigt, dass die Projektpartner bisher noch über kein Klimaschutzkonzept verfügen, welches mit diesem Antrag gefördert werden soll.</t>
  </si>
  <si>
    <t>Name des Landkreises:</t>
  </si>
  <si>
    <t>Gesamteinwohnerzahl:</t>
  </si>
  <si>
    <t>Bisherige Klimaschutzaktivitäten, Motivation und ggf. strukturelle Besonderheiten:</t>
  </si>
  <si>
    <t>EV aktuell</t>
  </si>
  <si>
    <t>AV Aktuell</t>
  </si>
  <si>
    <t>Wesentliche Ziele des (Teil-)Konzeptes, die wichtigsten Maßnahmen (+Anzahl), Höhe der gesamten THG-Emissionen mit Bezugsjahr, Höhe der zu erwartenden THG-Einsparung im Bewilligungszeitraum und Mittelfristig bis 2030:</t>
  </si>
  <si>
    <t>EV ÜGR</t>
  </si>
  <si>
    <t>AV ÜGR</t>
  </si>
  <si>
    <t>AV aktualisiert</t>
  </si>
  <si>
    <t>Motivation und Ausgangslage, bisherige Klimaschutzbemühungen:</t>
  </si>
  <si>
    <t>Angaben zum Antragsteller: Kurzbeschreibung der geogr. Lage, strukturelle Besonderheiten:</t>
  </si>
  <si>
    <t>Vorhabenbeschreibung Felder:</t>
  </si>
  <si>
    <t>Verstetigungsstrategie</t>
  </si>
  <si>
    <t>Controlling-Konzept</t>
  </si>
  <si>
    <t>Kommunikationsstrategie</t>
  </si>
  <si>
    <t>Handlungsfelder:</t>
  </si>
  <si>
    <t>Handlungsfelder Matrix</t>
  </si>
  <si>
    <t>wie oft steht da bitte auswählen</t>
  </si>
  <si>
    <t>wie oft steht da Nein</t>
  </si>
  <si>
    <t>Kommunen:</t>
  </si>
  <si>
    <t>Religionsgemeinschafte, Hochschulen, kommunale Unternehmen:</t>
  </si>
  <si>
    <t>Im integrierten Klimaschutzkonzept sind alle für den Antragsteller relevanten Handlungsfelder zu betrachten</t>
  </si>
  <si>
    <t>Handlungsfelder Anzeigen:</t>
  </si>
  <si>
    <t>ausgefülltes Auswahl- oder Ausfüllfeld</t>
  </si>
  <si>
    <t>Förderantrag einreichen bis spätestens:</t>
  </si>
  <si>
    <t>Ausschreibung frühestens:</t>
  </si>
  <si>
    <t>Wir bestätigen, dass bei der Stellenausschreibung ausgewiesen wurde/wird, dass die Besetzung nur bei Bewilligung der beantragten Zuwendung erfolgt.</t>
  </si>
  <si>
    <t xml:space="preserve">Bitte beschränken Sie sich auf den vorgegebenen Platz. Schreiben Sie gerne in Stichpunkten. </t>
  </si>
  <si>
    <t>Personal2</t>
  </si>
  <si>
    <t>Personal3</t>
  </si>
  <si>
    <t>Untergrenze / Jahr</t>
  </si>
  <si>
    <t>Projekt LZ (y):</t>
  </si>
  <si>
    <t>VZÄ/y</t>
  </si>
  <si>
    <t>Gesamtwochenstunden</t>
  </si>
  <si>
    <t>Gesamtarbeitstage</t>
  </si>
  <si>
    <t>Obergrenzen Konzepterstellung Arbeitstage</t>
  </si>
  <si>
    <t>1a</t>
  </si>
  <si>
    <t>1b</t>
  </si>
  <si>
    <t>Normalverteilung für ein VZÄ nach Patrick:</t>
  </si>
  <si>
    <t>Norm</t>
  </si>
  <si>
    <t>Untergrenze</t>
  </si>
  <si>
    <t>Normiert</t>
  </si>
  <si>
    <t>plus5%</t>
  </si>
  <si>
    <t>minus5%</t>
  </si>
  <si>
    <t>1. Schritt:</t>
  </si>
  <si>
    <t>2. Schritt:</t>
  </si>
  <si>
    <t>3. Schritt:</t>
  </si>
  <si>
    <t>Konzepterstellung und externe Unterstützung</t>
  </si>
  <si>
    <t>Basisdaten Text Projektstart</t>
  </si>
  <si>
    <t>Hilfreiche Links:</t>
  </si>
  <si>
    <t>Festlegung von Wärme- und Kälterversorgungsstrategien/Festlegung einer Mobilitätsstrategie</t>
  </si>
  <si>
    <t>Basisdaten Text1</t>
  </si>
  <si>
    <t>Basisdaten Dienstantritt2</t>
  </si>
  <si>
    <t>Der Zeitraum zwischen Antragseinreichung und geplantem Start des Vorhabens ist recht kurz. Eine rechtzeitige Bewilligung des Vorhabens kann möglicherweise nicht gewährleistet werden. Zwischen Antragstellung und Projektstart sollten mindestens 6 Monate liegen.</t>
  </si>
  <si>
    <t xml:space="preserve">Datum der Ausschreibung: </t>
  </si>
  <si>
    <r>
      <rPr>
        <b/>
        <sz val="9"/>
        <color theme="1"/>
        <rFont val="Arial"/>
        <family val="2"/>
      </rPr>
      <t>Hinweis:</t>
    </r>
    <r>
      <rPr>
        <sz val="9"/>
        <color theme="1"/>
        <rFont val="Arial"/>
        <family val="2"/>
      </rPr>
      <t xml:space="preserve">
</t>
    </r>
    <r>
      <rPr>
        <sz val="9"/>
        <color theme="1"/>
        <rFont val="Arial"/>
        <family val="2"/>
      </rPr>
      <t xml:space="preserve">An neu eingestelltes Klimaschutzmanagement in Kommunen/Institutionen werden sehr hohe Anforderungen gestellt. Um die Qualität der Prozesse zu erhöhen und damit die Klimaschutzziele innerhalb der Verwaltung und der gesamten Kommune/Institution zu erreichen, wird </t>
    </r>
    <r>
      <rPr>
        <b/>
        <sz val="9"/>
        <color theme="1"/>
        <rFont val="Arial"/>
        <family val="2"/>
      </rPr>
      <t>professionelle Prozessunterstützung für Klimaschutzmanager*innen</t>
    </r>
    <r>
      <rPr>
        <sz val="9"/>
        <color theme="1"/>
        <rFont val="Arial"/>
        <family val="2"/>
      </rPr>
      <t xml:space="preserve"> durch fachkundige externe Dienstleister gefördert.
Zuwendungsfähige Leistungen sind z.B. 
• Unterstützung bei der Durchführung prozessrelevanter Aufgaben, z. B. Akteursanalysen (verwaltungsinterne und -externe), Netzwerkansprachen, Moderationen etc. gemeinsam vorbereiten, durchführen und auswerten. Hinweis: Diese Leistungen müssen dabei so konzipiert sein, dass sie dem/der Klimaschutzmanager*in zu einem späteren Zeitpunkt das eigenständige Bearbeiten ähnlicher Aufgaben ermöglichen ("Hilfe zur Selbsthilfe").
• Fachliche Unterstützung bei der Prozessgestaltung (Auswahl des Methodenmix und Anpassungen), Prozessdurchführung und Prozessmoderation z. B.
      • von Informationsprozessen 
      • zum Klimaschutz-Wissensmanagement 
      • zu Reflexionen laufender Transformationsprozesse 
      • zu Austausch und Dialog hinsichtlich der Verbreitung des Klimaschutzgedankens
      • zur Erarbeitung akteursspezifischer Strategien hinsichtlich der Kommunikation, der Mobilisierung und des Erwartungsmanagements
      • zur Erarbeitung von Ideen und Strategien zur Initiierung von Partnerschaften verschiedener Akteure
      • zur Strategieentwicklung effizienter interkommunaler Vernetzung
      • zur Mobilisierung von Verwaltung und Akteuren wie z. B. Bürgerinnen und Bürgern oder Unternehmen für den kommunalen Klimaschutz
• Verstetigungsberatung, z. B. 
      • der Verwaltung die ressortübergreifende Rolle von Klimaschutzmanagement zu verdeutlichen und damit dessen Position zu stärken
      • Empfehlung/Erläuterung möglicher Strategien zur dauerhaften Verankerung des Themas Klimaschutz in der Kommune/Organisation – auch für die          
        politische bzw. Verwaltungsspitze
Es wird dringend empfohlen, für das beantragte Klimaschutzmanagement Auftragsvergaben für einige Personentage zur Unterstützung bei Klimaschutzprozessen sowie für Beteiligung und Mitwirkung zu kalkulieren – sowohl bei der Erstellung des Klimaschutzkonzeptes als auch bei der Maßnahmenumsetzung und Verstetigung des Klimaschutzes - und die konkreten Auftragsinhalte später in Abhängigkeit von der dann aktuellen Situation und dem Unterstützungsbedarf zu konkretisieren und in Abstimmung mit dem Projektträger auf Zuwendungsfähigkeit zu überprüfen.
</t>
    </r>
  </si>
  <si>
    <t>Zuwendungsfähig sind Ausgaben zur professionellen Prozessunterstützung in einem zeitlichen Umfang von maximal fünf Tagen pro Jahr.</t>
  </si>
  <si>
    <t>Wichtige im Anschlussvorhaben umzusetzende Maßnahmen(schritte), Höhe der zu erwartenden THG-Einsparung im Bewilligungszeitraum:</t>
  </si>
  <si>
    <t>Wesentliche Ziele des (Teil-)Konzeptes, die wichtigsten Maßnahmen (+Anzahl), Höhe der gesamten THG-Emissionen mit Bezugsjahr, Höhe der zu erwartenden THG-Einsparung im Bewilligungszeitraum und mittelfristig bis 2030:</t>
  </si>
  <si>
    <t>Obergrenzen für DL bzgl. externe Unterstützung bei der Konzepterstellung</t>
  </si>
  <si>
    <t>Einwohner</t>
  </si>
  <si>
    <t>THG-Bilanz</t>
  </si>
  <si>
    <t>Potenzialanalyse und Szenarienentwicklung</t>
  </si>
  <si>
    <t>10.000 - 30.000</t>
  </si>
  <si>
    <t>30.000 - 80.000</t>
  </si>
  <si>
    <t>&gt; 80.000</t>
  </si>
  <si>
    <t>Quelle:</t>
  </si>
  <si>
    <t>Obergrenze THG-Bilanz</t>
  </si>
  <si>
    <t>Obergrenze Potenz</t>
  </si>
  <si>
    <t>Einwohnerzahl</t>
  </si>
  <si>
    <t>Stellenbesetzung:</t>
  </si>
  <si>
    <t>Personalstelle:</t>
  </si>
  <si>
    <t xml:space="preserve">nicht bekanntes (N.N.-) Personal </t>
  </si>
  <si>
    <t>bekanntes Personal (Anschlussvorhaben)</t>
  </si>
  <si>
    <t>Aktualisiert?</t>
  </si>
  <si>
    <t>Nur AV Klickbox</t>
  </si>
  <si>
    <t>Personal NN Klickbox2:</t>
  </si>
  <si>
    <t>Wir bestätigen, dass die Stelle für Klimaschutzmanagement im Erstvorhaben über einen auf den Bewilligungszeitraum befristeten Arbeitsvertrag besetzt wurde und das Klimaschutzmanagement noch immer befristet angestellt ist.</t>
  </si>
  <si>
    <t>Wir bestätigen, dass der Arbeitsvertrag für die Projektstelle Klimaschutzmanagement auch im Anschlussvorhaben auf den Bewilligungszeitraum befristet wird.</t>
  </si>
  <si>
    <t>Bei Erstvorhaben nach Übergangsregelung muss zusätzlich das Klimaschutzkonzept in Papierform eingereicht werden.</t>
  </si>
  <si>
    <t>Der Auftrag zur Konzeptaktualisierung wurde vor dem 31.12.2018 an einen externen Dienstleister vergeben</t>
  </si>
  <si>
    <t>Projektjahr</t>
  </si>
  <si>
    <t>Monate</t>
  </si>
  <si>
    <t>Tage</t>
  </si>
  <si>
    <t>&lt;-Summe</t>
  </si>
  <si>
    <t>Monat</t>
  </si>
  <si>
    <t>LZ</t>
  </si>
  <si>
    <t>bis</t>
  </si>
  <si>
    <t>Diff. nächster Monat</t>
  </si>
  <si>
    <t>Projektjahr 3:</t>
  </si>
  <si>
    <t>Projektjahr 2:</t>
  </si>
  <si>
    <t>Projektjahr 1:</t>
  </si>
  <si>
    <t>EG9a-11</t>
  </si>
  <si>
    <t>EG9-11</t>
  </si>
  <si>
    <t>Gehalt</t>
  </si>
  <si>
    <t>PJ1:</t>
  </si>
  <si>
    <t>PJ2:</t>
  </si>
  <si>
    <t>PJ3:</t>
  </si>
  <si>
    <t>EG</t>
  </si>
  <si>
    <t>Wenn Ast Kommune, LK und kommunale Zusammenschlüsse bei INT KSK</t>
  </si>
  <si>
    <t>Handlungsfelder eingeschränkt:</t>
  </si>
  <si>
    <t>anzahlMonate</t>
  </si>
  <si>
    <t xml:space="preserve">Summe der Ausgaben Akteursbeteiligung: </t>
  </si>
  <si>
    <t xml:space="preserve">Wir bestätigen, dass nur Ausgaben für im Rahmen des Vorhabens ständig benötigte Literatur sowie maximal ein Fach-zeitschriftenabonnement pro Jahr einkalkuliert werden. </t>
  </si>
  <si>
    <t>Kurze Beschreibung der Art der Ausgaben, welche für die Konzeptfertigstellung kalkuliert werden</t>
  </si>
  <si>
    <t>Alt:Wir bestätigen, dass im Rahmen des Förderantrages eine neue befristete Projektstelle geschaffen wird, bei der uns zusätzliche Personalausgaben entstehen und dass die Einstellung von namentlich nicht bekanntem Personal (sog. N.N.-Personal) erfolgt.</t>
  </si>
  <si>
    <t>Bsp.: Aufgearbeitete Kurzfassung des Konzeptes zum leichten Lesen</t>
  </si>
  <si>
    <t>Bsp.: Layout und Druck des Konzeptes</t>
  </si>
  <si>
    <t>max mon. Zuschüsse PJ1</t>
  </si>
  <si>
    <t>PJ2</t>
  </si>
  <si>
    <t>JAHR1</t>
  </si>
  <si>
    <t>Gehalt Obergrenze</t>
  </si>
  <si>
    <t>Zusatzzahlung Obergrenze</t>
  </si>
  <si>
    <t>Anzahl Personalstellen:</t>
  </si>
  <si>
    <t>Anzahl Personalstellen EG9-11 (0817)</t>
  </si>
  <si>
    <t>Anzahl Personalstellen EG12-13 (0812)</t>
  </si>
  <si>
    <t>Anzahl Stellen</t>
  </si>
  <si>
    <t>Sonderzahlung</t>
  </si>
  <si>
    <t>Bitte erläutern!</t>
  </si>
  <si>
    <t>Bahncard</t>
  </si>
  <si>
    <t>Summe (Mtl.)</t>
  </si>
  <si>
    <t>Ausgaben insg.</t>
  </si>
  <si>
    <t>Antragsteller:</t>
  </si>
  <si>
    <t>Landkreis:</t>
  </si>
  <si>
    <t>Gesamteinwohner:</t>
  </si>
  <si>
    <t>Erstellt durch:</t>
  </si>
  <si>
    <t>Kozeptart:</t>
  </si>
  <si>
    <t>Vorhabenart</t>
  </si>
  <si>
    <t>Start</t>
  </si>
  <si>
    <t>Ende</t>
  </si>
  <si>
    <t>Klimaschutzonzepte, die zum Zeitpunkt der Antragstellung älter als 36 Monate sind, können nachträglich aktualisiert werden. Die Ausgaben für die Aktualisierung sind nicht förderbar.</t>
  </si>
  <si>
    <r>
      <rPr>
        <b/>
        <sz val="9"/>
        <color theme="1"/>
        <rFont val="Arial"/>
        <family val="2"/>
      </rPr>
      <t>Hinweis:</t>
    </r>
    <r>
      <rPr>
        <sz val="9"/>
        <color theme="1"/>
        <rFont val="Arial"/>
        <family val="2"/>
      </rPr>
      <t xml:space="preserve">
Bitte beachten Sie: Sollten uns Ihre Angaben unplausibel erscheinen, kann es ggf. notwendig sein, dass wir eine Stellenbewertung zu der von Ihnen beantragten Personalstelle / Entgeltgruppe nachfragen. Dieses Dokument wird in der Regel durch die Personalabteilung erstellt. Grundlage der Bewertung ist die differenzierte Erfassung der mit der Stelle verbundenen Leistungen und Anforderungen auf der Grundlage einer Stellenbeschreibung.</t>
    </r>
  </si>
  <si>
    <t>Wir bestätigen: Falls die monatlichen Zuschläge Ausgaben für Leistungsorientierte Vergütung/Bezahlung (LOV/LOB) enthalten, sind diese per Dienstvereinbarung geregelt.</t>
  </si>
  <si>
    <t>Achtung: überwiegend neue Maßnahmen(schritte) erforderlich!</t>
  </si>
  <si>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insgesamt</t>
    </r>
    <r>
      <rPr>
        <u/>
        <sz val="11"/>
        <color theme="1"/>
        <rFont val="Calibri"/>
        <family val="2"/>
        <scheme val="minor"/>
      </rPr>
      <t xml:space="preserve"> Sachausgaben in Höhe von 10.000 Euro </t>
    </r>
    <r>
      <rPr>
        <sz val="11"/>
        <color theme="1"/>
        <rFont val="Calibri"/>
        <family val="2"/>
        <scheme val="minor"/>
      </rPr>
      <t xml:space="preserve">zuwendungsfähig.
</t>
    </r>
  </si>
  <si>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Integrierte Klimaschutzkonzept im  Erstvorhaben</t>
    </r>
    <r>
      <rPr>
        <sz val="11"/>
        <color theme="1"/>
        <rFont val="Calibri"/>
        <family val="2"/>
        <scheme val="minor"/>
      </rPr>
      <t xml:space="preserve"> sind somit insgesamt</t>
    </r>
    <r>
      <rPr>
        <u/>
        <sz val="11"/>
        <color theme="1"/>
        <rFont val="Calibri"/>
        <family val="2"/>
        <scheme val="minor"/>
      </rPr>
      <t xml:space="preserve"> Sachausgaben in Höhe von 15.000 Euro </t>
    </r>
    <r>
      <rPr>
        <sz val="11"/>
        <color theme="1"/>
        <rFont val="Calibri"/>
        <family val="2"/>
        <scheme val="minor"/>
      </rPr>
      <t xml:space="preserve">zuwendungsfähig.
</t>
    </r>
  </si>
  <si>
    <r>
      <t xml:space="preserve">Bitte beachten Sie: Zuwendungsfähig sind Sachausgaben für die begleitende Öffentlichkeitsarbeit im Umfang von maximal 5 000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t>
    </r>
    <r>
      <rPr>
        <u/>
        <sz val="11"/>
        <color theme="1"/>
        <rFont val="Calibri"/>
        <family val="2"/>
        <scheme val="minor"/>
      </rPr>
      <t>insgesamt Sachausgaben in Höhe von 7.500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</si>
  <si>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t>
    </r>
    <r>
      <rPr>
        <sz val="11"/>
        <color theme="1"/>
        <rFont val="Calibri"/>
        <family val="2"/>
        <scheme val="minor"/>
      </rPr>
      <t xml:space="preserve"> im </t>
    </r>
    <r>
      <rPr>
        <sz val="11"/>
        <color rgb="FFFF0000"/>
        <rFont val="Calibri"/>
        <family val="2"/>
        <scheme val="minor"/>
      </rPr>
      <t xml:space="preserve">Erstvorhaben </t>
    </r>
    <r>
      <rPr>
        <sz val="11"/>
        <color theme="1"/>
        <rFont val="Calibri"/>
        <family val="2"/>
        <scheme val="minor"/>
      </rPr>
      <t xml:space="preserve">sind somit </t>
    </r>
    <r>
      <rPr>
        <u/>
        <sz val="11"/>
        <color theme="1"/>
        <rFont val="Calibri"/>
        <family val="2"/>
        <scheme val="minor"/>
      </rPr>
      <t>insgesamt Sachausgaben in Höhe von 5.000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</si>
  <si>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insgesamt</t>
    </r>
    <r>
      <rPr>
        <u/>
        <sz val="11"/>
        <color theme="1"/>
        <rFont val="Calibri"/>
        <family val="2"/>
        <scheme val="minor"/>
      </rPr>
      <t xml:space="preserve"> Sachausgaben in Höhe von 13.333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</si>
  <si>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 xml:space="preserve">Integrierte Klimaschutzkonzept im Anschlussvorhaben </t>
    </r>
    <r>
      <rPr>
        <sz val="11"/>
        <color theme="1"/>
        <rFont val="Calibri"/>
        <family val="2"/>
        <scheme val="minor"/>
      </rPr>
      <t xml:space="preserve">sind somit </t>
    </r>
    <r>
      <rPr>
        <u/>
        <sz val="11"/>
        <color theme="1"/>
        <rFont val="Calibri"/>
        <family val="2"/>
        <scheme val="minor"/>
      </rPr>
      <t>insgesamt Sachausgaben in Höhe von 3.333,33 Euro</t>
    </r>
    <r>
      <rPr>
        <sz val="11"/>
        <color theme="1"/>
        <rFont val="Calibri"/>
        <family val="2"/>
        <scheme val="minor"/>
      </rPr>
      <t xml:space="preserve"> zuwendungsfähig.</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</si>
  <si>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2.500,00 Euro</t>
    </r>
    <r>
      <rPr>
        <sz val="11"/>
        <color theme="1"/>
        <rFont val="Calibri"/>
        <family val="2"/>
        <scheme val="minor"/>
      </rPr>
      <t xml:space="preserve"> zuwendungsfähig.</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</si>
  <si>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 im</t>
    </r>
    <r>
      <rPr>
        <sz val="11"/>
        <color theme="1"/>
        <rFont val="Calibri"/>
        <family val="2"/>
        <scheme val="minor"/>
      </rPr>
      <t xml:space="preserve">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10.000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</si>
  <si>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t>Bitte beachten Sie: Zuwendungsfähig sind Sachausgaben zur Beteiligung der relevanten Akteure (Organisation und Durchführung von Beteiligungsprozessen) im Umfang von max. 10.000 Euro.</t>
  </si>
  <si>
    <t>Bitte beachten Sie: Zuwendungsfähig sind Sachausgaben zur Beteiligung der relevanten Akteure (Organisation und Durchführung von Beteiligungsprozessen) im Umfang von maximal 5.000 Euro.</t>
  </si>
  <si>
    <t>bei ÜGR umrechnen</t>
  </si>
  <si>
    <t>Bitte reichen Sie zusammen mit dieser Vorhabenbeschreibung folgende Dokumente ein:</t>
  </si>
  <si>
    <t xml:space="preserve">Bei der Umsetzung eines Klimaschutzkonzeptes muss zusammen mit dem Förderantrag und dem Klimaschutz(teil)konzept zusätzlich der Beschluss zur Umsetzung der Maßnahmen und zur Einführung des begleitenden Klimaschutz-Controllings eingereicht werden. </t>
  </si>
  <si>
    <t xml:space="preserve">Wir bestätigen, dass es sich bei der/dem beantragten Projektstelle(n) um zusätzlich geschaffene und auf den Förderzeitraum befristete Projektstelle(n) handelt, welche öffentlich ausgeschrieben wird/werden.
Zuwendungsfähig sind nur zusätzlich entstehende Personalausgaben. </t>
  </si>
  <si>
    <t>bis 10.000</t>
  </si>
  <si>
    <r>
      <rPr>
        <b/>
        <sz val="9"/>
        <color theme="1"/>
        <rFont val="Arial"/>
        <family val="2"/>
      </rPr>
      <t>Wir bestätigen</t>
    </r>
    <r>
      <rPr>
        <sz val="9"/>
        <color theme="1"/>
        <rFont val="Arial"/>
        <family val="2"/>
      </rPr>
      <t>, die oben genannten Hinweise zu berücksichtigen.</t>
    </r>
  </si>
  <si>
    <t>eine Kooperationsvereinbarung aller Partner zur Zusammenarbeit mit allen Unterschriften und eine schriftliche Bestätigung, dass die Projektpartner bisher noch über kein Klimaschutzkonzept verfügen, welches mit diesem Antrag gefördert werden soll.</t>
  </si>
  <si>
    <t>eigene Liegenschaften</t>
  </si>
  <si>
    <t>Mobilität</t>
  </si>
  <si>
    <t>Gewerbegebiete</t>
  </si>
  <si>
    <t>Anpassung Klimawandel</t>
  </si>
  <si>
    <r>
      <rPr>
        <b/>
        <sz val="9"/>
        <color theme="1"/>
        <rFont val="Arial"/>
        <family val="2"/>
      </rPr>
      <t>Hinweis:</t>
    </r>
    <r>
      <rPr>
        <sz val="9"/>
        <color theme="1"/>
        <rFont val="Arial"/>
        <family val="2"/>
      </rPr>
      <t xml:space="preserve"> individuell gestaltete Gegenstände gehören in die Position Vergabe von Aufträgen (F0835) </t>
    </r>
  </si>
  <si>
    <t>Neue Obergrenze:</t>
  </si>
  <si>
    <t xml:space="preserve">Die Höhe des Tagessatzes erscheint zu hoch zu sein. Bitte überprüfen und erläutern Sie dies im Tabellenbaltt "Anmerkungen". Holen Sie ggf. weitere Angebote ein. </t>
  </si>
  <si>
    <t>Konzepterstellung</t>
  </si>
  <si>
    <t>Festlegung einer Mobilitätsstrategie</t>
  </si>
  <si>
    <t>Festlegung von Wärme- und Kälterversorgungsstrategien</t>
  </si>
  <si>
    <t xml:space="preserve">Bitte denken Sie auch daran, dem Antrag das umzusetztende Klimachutz(teil)konzept und den Beschluss des höchsten Gremiums zur UMSETZUNG der Maßnahmen des Konzeptes beizufügen. </t>
  </si>
  <si>
    <r>
      <t xml:space="preserve">Im integrierten Klimaschutzkonzept sind alle für den Antragsteller relevanten Handlungsfelder zu betrachten.
Das heißt für </t>
    </r>
    <r>
      <rPr>
        <b/>
        <sz val="11"/>
        <color theme="1"/>
        <rFont val="Calibri"/>
        <family val="2"/>
        <scheme val="minor"/>
      </rPr>
      <t>Kommunen</t>
    </r>
    <r>
      <rPr>
        <sz val="11"/>
        <color theme="1"/>
        <rFont val="Calibri"/>
        <family val="2"/>
        <scheme val="minor"/>
      </rPr>
      <t xml:space="preserve">, </t>
    </r>
    <r>
      <rPr>
        <b/>
        <sz val="11"/>
        <color theme="1"/>
        <rFont val="Calibri"/>
        <family val="2"/>
        <scheme val="minor"/>
      </rPr>
      <t>Landkreise</t>
    </r>
    <r>
      <rPr>
        <sz val="11"/>
        <color theme="1"/>
        <rFont val="Calibri"/>
        <family val="2"/>
        <scheme val="minor"/>
      </rPr>
      <t xml:space="preserve"> und </t>
    </r>
    <r>
      <rPr>
        <b/>
        <sz val="11"/>
        <color theme="1"/>
        <rFont val="Calibri"/>
        <family val="2"/>
        <scheme val="minor"/>
      </rPr>
      <t>kommunale Zusammenschlüsse</t>
    </r>
    <r>
      <rPr>
        <sz val="11"/>
        <color theme="1"/>
        <rFont val="Calibri"/>
        <family val="2"/>
        <scheme val="minor"/>
      </rPr>
      <t>: 
auch die Handlungsfelder, in denen die Antragsteller eher beratend bzw. motivierend und weniger regulierend tätig sind (z.B. private Haushalte oder Gewerbe, Handel, Dienstleistungen). 
Dabei müssen mindestens zwei der Handlungsfelder eigene Liegenschaften, Mobilität, Beschaffung und IT-Infrastruktur eine komplexe Verwaltungs- und Wirtschaftsstruktur aufweisen, sowie erhebliche Energie- und Treibhausgaseinsparungspotenziale erwarten lassen.</t>
    </r>
  </si>
  <si>
    <r>
      <t xml:space="preserve">Im integrierten Klimaschutzkonzept sind alle für den Antragsteller relevanten Handlungsfelder zu betrachten.
Das heißt für </t>
    </r>
    <r>
      <rPr>
        <b/>
        <sz val="11"/>
        <color theme="1"/>
        <rFont val="Calibri"/>
        <family val="2"/>
        <scheme val="minor"/>
      </rPr>
      <t>Religionsgemeinschaften</t>
    </r>
    <r>
      <rPr>
        <sz val="11"/>
        <color theme="1"/>
        <rFont val="Calibri"/>
        <family val="2"/>
        <scheme val="minor"/>
      </rPr>
      <t xml:space="preserve">, </t>
    </r>
    <r>
      <rPr>
        <b/>
        <sz val="11"/>
        <color theme="1"/>
        <rFont val="Calibri"/>
        <family val="2"/>
        <scheme val="minor"/>
      </rPr>
      <t>Hochschulen</t>
    </r>
    <r>
      <rPr>
        <sz val="11"/>
        <color theme="1"/>
        <rFont val="Calibri"/>
        <family val="2"/>
        <scheme val="minor"/>
      </rPr>
      <t xml:space="preserve"> oder </t>
    </r>
    <r>
      <rPr>
        <b/>
        <sz val="11"/>
        <color theme="1"/>
        <rFont val="Calibri"/>
        <family val="2"/>
        <scheme val="minor"/>
      </rPr>
      <t>kommunale Unternehmen</t>
    </r>
    <r>
      <rPr>
        <sz val="11"/>
        <color theme="1"/>
        <rFont val="Calibri"/>
        <family val="2"/>
        <scheme val="minor"/>
      </rPr>
      <t xml:space="preserve">: 
In Abhängigkeit von den für sie relevanten Handlungsfeldern sind ggf. sonstige Handlungsfelder anzugeben, die sich beispielsweise auf die Tätigkeit von Kirchengemeinden oder auf studentisches Leben beziehen. 
Dabei müssen mindestens zwei der Handlungsfelder </t>
    </r>
    <r>
      <rPr>
        <b/>
        <sz val="11"/>
        <color theme="1"/>
        <rFont val="Calibri"/>
        <family val="2"/>
        <scheme val="minor"/>
      </rPr>
      <t>eigene Liegenschaften</t>
    </r>
    <r>
      <rPr>
        <sz val="11"/>
        <color theme="1"/>
        <rFont val="Calibri"/>
        <family val="2"/>
        <scheme val="minor"/>
      </rPr>
      <t xml:space="preserve">, </t>
    </r>
    <r>
      <rPr>
        <b/>
        <sz val="11"/>
        <color theme="1"/>
        <rFont val="Calibri"/>
        <family val="2"/>
        <scheme val="minor"/>
      </rPr>
      <t>Mobilität</t>
    </r>
    <r>
      <rPr>
        <sz val="11"/>
        <color theme="1"/>
        <rFont val="Calibri"/>
        <family val="2"/>
        <scheme val="minor"/>
      </rPr>
      <t xml:space="preserve">, </t>
    </r>
    <r>
      <rPr>
        <b/>
        <sz val="11"/>
        <color theme="1"/>
        <rFont val="Calibri"/>
        <family val="2"/>
        <scheme val="minor"/>
      </rPr>
      <t>Beschaffung</t>
    </r>
    <r>
      <rPr>
        <sz val="11"/>
        <color theme="1"/>
        <rFont val="Calibri"/>
        <family val="2"/>
        <scheme val="minor"/>
      </rPr>
      <t xml:space="preserve"> und </t>
    </r>
    <r>
      <rPr>
        <b/>
        <sz val="11"/>
        <color theme="1"/>
        <rFont val="Calibri"/>
        <family val="2"/>
        <scheme val="minor"/>
      </rPr>
      <t>IT-Infrastruktur</t>
    </r>
    <r>
      <rPr>
        <sz val="11"/>
        <color theme="1"/>
        <rFont val="Calibri"/>
        <family val="2"/>
        <scheme val="minor"/>
      </rPr>
      <t xml:space="preserve"> eine komplexe Verwaltungs- und Wirtschaftsstruktur aufweisen, sowie erhebliche Energie- und Treibhausgaseinsparungspotenziale erwarten lassen.</t>
    </r>
  </si>
  <si>
    <t>Geschäftsbedarf  (Position F0839)</t>
  </si>
  <si>
    <t>Bsp.: Moderationskarten</t>
  </si>
  <si>
    <t>prof_Prozessunterstützung</t>
  </si>
  <si>
    <t>Inhalte und Handlungsfelder</t>
  </si>
  <si>
    <t>Obergrenzen Dienstreisen:</t>
  </si>
  <si>
    <t>keine</t>
  </si>
  <si>
    <t>Obergrenze Gerissen</t>
  </si>
  <si>
    <t>Dienstreisen:</t>
  </si>
  <si>
    <t>Die angesetzen Teilnahmegebühren für Weiterqualifizierungen erscheinen uns zu hoch. Bitte erläutern Sie dies im Tabellenblatt 'Anmerkungen'.</t>
  </si>
  <si>
    <t>Netzwerktreffen mit Teilnahmegebühr?</t>
  </si>
  <si>
    <t>Weiterquali mit &gt;1000€ pro Veranstaltung</t>
  </si>
  <si>
    <t>Tagen innerhalb der Projektlaufzeit für Klimaschutzmanager* und kommunale Mitarbeiter*, die mit dem Klimaschutz beauftragt sind.</t>
  </si>
  <si>
    <t xml:space="preserve">Bitte beachten Sie: Zuwendungsfähig sind Ausgaben für Dienstreisen, einschließlich der Teilnahmegebühren für Vernetzungstreffen, Fachtagungen oder sonstigen Informationsveranstaltungen, die in direktem Zusammenhang mit der Stelle für Klimaschutz stehen, an bis zu </t>
  </si>
  <si>
    <t xml:space="preserve">Bitte beachten Sie: Zuwendungsfähig sind Ausgaben für Dienstreisen, einschließlich der Teilnahmegebühren für Weiterqualifizierungen an bis zu </t>
  </si>
  <si>
    <t>Anmerkungsrechner:</t>
  </si>
  <si>
    <t>Gelöst?</t>
  </si>
  <si>
    <t>Erfolgskontrollplan Diagramm</t>
  </si>
  <si>
    <t>Projektmonat:</t>
  </si>
  <si>
    <t xml:space="preserve">Bei Anschlussvorhaben nach Übergangsregelung, in welchem überwiegend neue Maßnahmen umgesetzt werden sollen, oder bei denen der Umsetzungsbeschluss die neuen Maßnahmen noch nicht mit umfasst, muss ein neuer Beschluss zur Umsetzung der Maßnahmen beigefügt werden. </t>
  </si>
  <si>
    <t>Nach unserer Erfahrung sind Teilnahmegebühren für Vernetzungstreffen für Klimaschutzmanager unüblich. Bitte erläutern Sie Ihre Angaben im Tabellenblatt 'Anmerkungen' (Art des Vernetzungstreffens).</t>
  </si>
  <si>
    <t>Hinweis:
Warum wird mir roter Text angezeigt? In mindestens einem Tabellenblatt wurden unvollständige, oder unplausible Angaben gemacht. Bitte navigieren Sie in das entsprechende Tabellenblatt zurück und korrigieren Sie Ihre Angaben. 
Sollten Ihre Eingaben weitere Erläuterungen erfordern (zu erkennen an einem Ausrufezeichen in der entsprechenden Zeile), dann ergänzen Sie Ihre Angaben bitte im Tabellenblatt 'Anmerkungen'.</t>
  </si>
  <si>
    <t xml:space="preserve">Hinweis:
Bitte wählen Sie das Tabellenblatt aus dem Dropdownmenü aus, zu welchem Sie die Anmerkungen schreiben möchten. </t>
  </si>
  <si>
    <t>Achtung: Zuwendungsfähig sind Ausgaben im Umfang von max. 5.000,00 €</t>
  </si>
  <si>
    <t xml:space="preserve">Die angesetzten Arbeitstage erscheinen zu hoch. Bitte überprüfen und erläutern Sie dies im Tabellenbaltt "Anmerkungen". Reduzieren Sie ggf. die Anzahl und holen dazu weitere Angebote ein. </t>
  </si>
  <si>
    <t>Gegenstände &gt; 800€ Einzelpreis (Position F0850)</t>
  </si>
  <si>
    <t>Gegenstände &lt; 800€ Einzelpreis (Position F0831)</t>
  </si>
  <si>
    <t>Gegenstände &lt; 800€ Einzelpreis (Position F0831 )</t>
  </si>
  <si>
    <t>Achtung: Übliche Tagessätze liegen zwischen 750-980 € Brutto. Bitte erläutern Sie Ihre Angaben im Tabellenblatt Anmerkungen.</t>
  </si>
  <si>
    <t xml:space="preserve">• Eingabe der Ausgabenplanung in easy-online gemäß der Positionssummen und -jahresscheiben wie im Tabellenblatt "Ausgabenübersicht"
</t>
  </si>
  <si>
    <r>
      <t xml:space="preserve">War das vorliegende Konzept älter als 36 Monate und wurde vor dem 31.12.2018 aktualisiert, oder wurde die Konzepterstellung bis zum 31.12.2018 beantragt, gilt eine </t>
    </r>
    <r>
      <rPr>
        <b/>
        <sz val="11"/>
        <color theme="1"/>
        <rFont val="Calibri"/>
        <family val="2"/>
        <scheme val="minor"/>
      </rPr>
      <t>Übergangsregelung</t>
    </r>
    <r>
      <rPr>
        <sz val="11"/>
        <color theme="1"/>
        <rFont val="Calibri"/>
        <family val="2"/>
        <scheme val="minor"/>
      </rPr>
      <t>. Die Dauer des Erstvorhabens beträgt in diesem Fall für ein Integriertes Konzept 36 Monate und für ein Teilkonzept 24 Monate. Die Dauer eines Anschlussvorhabens beträgt für Integrierte Konzepte 24 Monate und für Teilkonzepte 12 Monate.</t>
    </r>
  </si>
  <si>
    <t>Sportverein</t>
  </si>
  <si>
    <t>Pflegeeinrichtung</t>
  </si>
  <si>
    <t>Fokus-/Teilkonzept</t>
  </si>
  <si>
    <t>4.1.10 a) Erstellung von Fokuskonzepten</t>
  </si>
  <si>
    <t>Konzepterstellung:</t>
  </si>
  <si>
    <t>Summe der weiteren Sachausgaben:</t>
  </si>
  <si>
    <t>Summe der Ausgaben für Dienstreisen:</t>
  </si>
  <si>
    <t>THG-Minderungsstrategien und priorisierte Handlungsfelder</t>
  </si>
  <si>
    <r>
      <t xml:space="preserve">• </t>
    </r>
    <r>
      <rPr>
        <b/>
        <u/>
        <sz val="9"/>
        <rFont val="Arial"/>
        <family val="2"/>
      </rPr>
      <t>zuerst</t>
    </r>
    <r>
      <rPr>
        <sz val="9"/>
        <rFont val="Arial"/>
        <family val="2"/>
      </rPr>
      <t xml:space="preserve"> Felder im Tabellenblatt „Basisdaten“ der Reihe nach vollständig befüllen
• bitte beachten Sie die Hinweistexte (auch in allen anderen Tabellenblättern)
</t>
    </r>
  </si>
  <si>
    <t>4.1.9 Erstellung eines integrierten Vorreiterkonzepts</t>
  </si>
  <si>
    <t>Gefördert wird die Erstellung eines integrierten Vorreiterkonzepts im Bereich Klimaschutz, mit dem ein Antragsteller seine Klimaschutzstrategie und -maßnahmen aktualisiert, konkretisiert und ambitionierter gestaltet. Ziel des integrierten Vorreiterkonzepts ist die Erreichung der Treibhausgasneutralität bis zum Jahr 2040.
Der Bewilligungszeitraum beträgt in der Regel zwölf Monate.</t>
  </si>
  <si>
    <t>Konzeptart:</t>
  </si>
  <si>
    <t>Fokuskonzept Mobilität</t>
  </si>
  <si>
    <t>Fokuskonzept Abfallwirtschaft</t>
  </si>
  <si>
    <t>Integriertes Vorreiterkonzept</t>
  </si>
  <si>
    <t>Bitte planen Sie den Projektstart frühestens 6 Monate nach Antragstellung ein. Der Projektstart sollte möglichst immer der Monatserste sein.</t>
  </si>
  <si>
    <t>Motivation, Ausgangslage/strukturelle Besonderheiten, Zielstellung</t>
  </si>
  <si>
    <t>Kalkulation Dienstleister</t>
  </si>
  <si>
    <t>Dienstleister</t>
  </si>
  <si>
    <t>Abfall</t>
  </si>
  <si>
    <t>Wärme</t>
  </si>
  <si>
    <t>Vorreiter</t>
  </si>
  <si>
    <t>Bestandsanalyse</t>
  </si>
  <si>
    <t>Bestandsanalyse sowie Energie- und Treibhausgasbilanz inklusive räumlicher Darstellung</t>
  </si>
  <si>
    <t xml:space="preserve">Bestandsanalyse sowie Energie- und Treibhausgasbilanz des Verkehrsaufkommens nach Verursachern (motorisierter Individualverkehr [MIV], öffentlicher Personen-Nahverkehr [ÖPNV], Güterverkehr etc.) und Energieträgern </t>
  </si>
  <si>
    <t xml:space="preserve">Ist-Analyse sowie Energie- und Treibhausgasbilanz </t>
  </si>
  <si>
    <t>Potenzialanalyse</t>
  </si>
  <si>
    <t xml:space="preserve">Potenzialanalyse und Szenarien </t>
  </si>
  <si>
    <t>Ableitung von Optimierungsmaßnahmen und Fahrplan zur Umsetzung</t>
  </si>
  <si>
    <t>Zielszenarien und Entwicklungspfade</t>
  </si>
  <si>
    <t xml:space="preserve">THG-Minderungsziele </t>
  </si>
  <si>
    <t>Partizipationsstrategie</t>
  </si>
  <si>
    <t>Strategie und Maßnahmenkatalog</t>
  </si>
  <si>
    <t>Maßnahmenkatalog mit allen Informationen gemäß vorgegebenem Maßnahmenblatt</t>
  </si>
  <si>
    <t xml:space="preserve">Kommunikationsstrategie </t>
  </si>
  <si>
    <t xml:space="preserve">Controlling-Konzept </t>
  </si>
  <si>
    <t>Handlungsfelder</t>
  </si>
  <si>
    <t>WaermeKaelte</t>
  </si>
  <si>
    <t>Mobilitaet</t>
  </si>
  <si>
    <t>Vorreiterkonzept</t>
  </si>
  <si>
    <t>Inhaltliche Anforderungen/Struktur des Fokuskonzeptes Abfallwirtschaft</t>
  </si>
  <si>
    <t>Inhaltliche Anforderungen/Struktur des Fokuskonzeptes Wärme- und Kältenutzung</t>
  </si>
  <si>
    <t>Inhaltliche Anforderungen/Struktur des Fokuskonzeptes Mobilität</t>
  </si>
  <si>
    <t>Inhaltliche Anforderungen/Struktur des Vorreiterkonzepts</t>
  </si>
  <si>
    <t>Arbeitsplanung Konzepterstellung</t>
  </si>
  <si>
    <t>Tätigkeiten des ext. Dienstleisters - Konzepterstellung</t>
  </si>
  <si>
    <t>Tagessatz ext. Dienstleister 
[€]</t>
  </si>
  <si>
    <t>Ausgaben 
[€]</t>
  </si>
  <si>
    <t>Bewilligungsvoraussetzung ist, dass durch das beantragte Konzept ein erhebliches Energie- und Treibhausgaseinsparpotenzial in mehreren Handlungsfeldern nachgewiesen werden kann.</t>
  </si>
  <si>
    <t>bis:</t>
  </si>
  <si>
    <t>1) Ist-Analyse sowie Energie- und Treibhausgasbilanz nach dem endenergiebasierten Territorialprinzip für den stationären Energieverbrauchsbereich und für den Sektor Mobilität für Kommunen (z. B. BISKO-Standard, GPC-Standard) bzw. nach dem endenergiebasierten Verursacherprinzip für nichtkommunale Antragsteller sowie Indikatorenvergleich mit Bundesdurchschnittsdaten 
2) Potenzialanalyse und Szenarien (Referenzszenario und Klimaschutz-Vorreiterszenario) mit dem Ziel Klimaneutrale Kommune bis 2040 
3) THG-Minderungsziele für die kommenden 15 Jahre und mit dem Zeithorizont bis 2040 sowie spezifische, zielkonforme Handlungsstrategien und priorisierte Handlungsfelder 
4) Akteursbeteiligung - Beteiligung sämtlicher betroffener Verwaltungseinheiten und aller weiteren relevanten Akteure an der Erarbeitung eines Zieles und der Strategien und der umzusetzenden Maßnahmen 
5) Maßnahmenkatalog mit allen Informationen gemäß vorgegebenem Maßnahmenblatt; Mit den erarbeiteten Maßnahmen muss die avisierte Treibhausgasneutralität der Organisation erreicht werden können
6) Potenzialanalyse, Handlungsstrategie und Maßnahmen "klimaneutrale Kommunalverwaltung" bis spätestens 2035
7) Verstetigungsstrategie inklusive Organisationsstrukturen und Verantwortlichkeiten/Zuständigkeiten 
8) Controlling-Konzept für Top-down- und Bottom-up-Verfolgung der Zielerreichung inklusive Indikatoren und Rahmenbedingungen für Datenerfassung und –auswertung
9) Kommunikationsstrategie für die konsens- und unterstützungsorientierte Zusammenarbeit mit allen Zielgruppen</t>
  </si>
  <si>
    <t>Gesperrte bzw. berechnete Felder</t>
  </si>
  <si>
    <t>Summe (brutto)</t>
  </si>
  <si>
    <r>
      <rPr>
        <b/>
        <sz val="9"/>
        <color theme="1"/>
        <rFont val="Arial"/>
        <family val="2"/>
      </rPr>
      <t>Hinweis:</t>
    </r>
    <r>
      <rPr>
        <sz val="9"/>
        <color theme="1"/>
        <rFont val="Arial"/>
        <family val="2"/>
      </rPr>
      <t xml:space="preserve"> Ausgaben für mobile Endgeräte (Smartphones, Tablets etc.), sowie Laptops und Beamer sind grundsätzlich nicht zuwendungsfähig. </t>
    </r>
  </si>
  <si>
    <r>
      <rPr>
        <b/>
        <sz val="9"/>
        <color theme="1"/>
        <rFont val="Arial"/>
        <family val="2"/>
      </rPr>
      <t>Wir bestätigen</t>
    </r>
    <r>
      <rPr>
        <sz val="9"/>
        <color theme="1"/>
        <rFont val="Arial"/>
        <family val="2"/>
      </rPr>
      <t>, den oben genannten Hinweis bezüglich der begleitenden Öffentlichkeitsarbeit zu berücksichtigen.</t>
    </r>
  </si>
  <si>
    <t>1) Bestandsanalyse sowie Energie- und Treibhausgasbilanz inklusive räumlicher Darstellung
• Gebäude- und Siedlungstypen unter anderem nach Baualtersklassen.
• Energieverbrauchs- oder Energiebedarfserhebungen.
• Beheizungsstruktur der Wohn- und Nichtwohngebäude.
• Wärme- und Kälteinfrastruktur (Gas- und Wärmenetze, Heizzentralen, Speicher).
2) Potenzialanalyse
• Potenziale zur Energieeinsparung für Raumwärme, Warmwasser und Prozesswärme in den Sektoren Haushalte, Gewerbe-Handel-Dienstleistungen, Industrie und öffentlichen Liegenschaften.
• Potenziale zur Nutzung von erneuerbaren Energien und von Abwärme.
3) Zielszenarien und Entwicklungspfade
• Mindestens unter Berücksichtigung der jeweils aktuell gültigen THG-Minderungsziele der Bundesregierung. 
• Inklusive räumlich aufgelöster Beschreibung der dafür benötigten künftigen Versorgungsstruktur
4) Strategie und Maßnahmenkatalog
• Identifikation von zwei bis drei Fokusgebieten, die bezüglich einer klimafreundlichen Wärmeversorgung kurz- und mittelfristig prioritär zu behandeln sind, um die Energie- und THG-Einsparung zu erreichen und umzusetzen. 
• Für diese Fokusgebiete sind zusätzlich konkrete, räumlich zugeordnete Umsetzungspläne zu erarbeiten.
5) Partizipationsstrategie
• Beteiligung sämtlicher betroffener Verwaltungseinheiten.
• Beteiligung aller weiteren relevanten Akteure an der Entwicklung der umzusetzenden Maßnahmen.
6) Kommunikationsstrategie 
• Konsens- und unterstützungsorientiert. 
• Zusammenarbeit mit allen Zielgruppen.
7) Verstetigungsstrategie 
• Benennung von Organisationsstrukturen. 
• Benennung von Verantwortlichkeiten/ Zuständigkeiten.
8) Controlling-Konzept 
• Benennung von Indikatoren 
• Benennung von Rahmenbedingungen für Datenerfassung und -auswertung</t>
  </si>
  <si>
    <t xml:space="preserve">1) Bestandsanalyse
• Quantitative Bewertung des vorhandenen Abfallaufkommens anhand geeigneter Indikatoren: Behältervolumina, Erfassungsquote der getrennt gesammelten Abfallfraktionen (insbesondere der Bio- und Grünabfälle), Anschlussquote Biotonne, Bestimmung der Zusammensetzung des Restabfalls (insbesondere des Organikanteils);
• Qualitative Bestandsaufnahme zum Abfallbereich in der Kommune: u. a. Beschreibung und Bewertung der Gebührenstruktur (z. B. Anreizwirkung), Gründe für die Nicht-einführung oder für das schlechte Funktionieren der Biotonne, Beschreibung von Sammelplatzstrukturen etc.;
• Beschreibung bestehender Entsorgungswege und -anlagen und ihrer wesentlichen Grobkomponenten sowie Angaben zu Kapazitäten (insbesondere zu Art und Qualität der Kompostierungsanlagen, Vermarktungswege für getrennte oder erzeugte Wertstoffe).
2) Potenzialanalyse
• Bewertung des Potenzials des Organikanteils und der Anteile anderweitig verwertbarer Bestandteile im Restabfall;
• Bewertung des Potenzials zur Erfassung weiterer organischer Reststoffe (z. B. Grünabfälle aus kommunalen Grünanlagen, Grünflächen von Wohnanlagen, Kliniken, Friedhöfen, Zoos und Parks, Wegbegleitgrün, Sport- und Freizeitanlagen, Spielplätzen, Hausgärten, Kleingartenanlagen etc.) anhand zu erwartender Qualitäten und Mengen. Prüfung, ob das über das Jahr fluktuierende Aufkommen einen kontinuierlichen Stoffstrom mit Mindestmengen für die Nutzung ermöglicht;
• Analyse der Optimierungspotenziale bestehender Abfallbehandlungs-, Abfallverwertungs- und Abfallentsorgungsanlagen (z. B. Analyse von Nachrüstungsmöglichkeiten anaerober Stufen, Ausbaukapazitäten etc.)
• Analyse möglicher neuer Entsorgungsstrukturen (energetisch und stofflich-energetisch) hinsichtlich in Frage kommender Verwertungsverfahren/Anlagen unter besonderer Berücksichtigung des Klimaschutzes wie z. B. kurze Transportwege, KWK-Nutzung, Vermarktungsmöglichkeit der Komposte, Holzbrennstoffe und/oder flüssige Gärreste, Weiterverarbeitung der Komposte zu verschiedenen Erdenprodukten, Entsorgungsmöglichkeit für Abwasser etc., Kooperationsmöglichkeiten mit anderen Körperschaften
• Ermittlung von Klimaschutzpotenzialen, die durch Digitalisierung gehoben werden können, wie z.B. Digitale Behältererfassung, Behälterfüllstandsmeldungen etc.;
• Definition von Klimaschutzzielen und Entwicklung einer kurz-, mittel- und langfristigen Strategie.
3) Ableitung von Optimierungsmaßnahmen und Fahrplan zur Umsetzung
Entwicklung eines Maßnahmenkataloges zur Umsetzung und Erreichung der THG-Einsparungen. Der Maßnahmenkatalog beinhaltet, aufbauend auf der Potenzialanalyse, alle notwendigen Maßnahmen über den gesamten Entsorgungsweg, die zur Minderung der THG-Emissionen beitragen, mindestens jedoch:
Hinweis: Es sollte eine Beteiligung sämtlicher betroffener Verwaltungseinheiten erfolgen
a) Übersicht über die wichtigsten bereits durchgeführten Klimaschutzmaßnahmen (retrospektive Betrachtung);
b) Einführung oder Optimierung der getrennten Erfassung (z. B. Anschluss- und Benutzungszwang bei Biotonne, Sammelstellensystem für Grünabfall, Containerstandorte, Beratung, Kontrolle, Öffentlichkeitsarbeit etc.);
c) Möglichkeiten der Anreizentwicklung über die Gebührenordnung,
d) Bereitstellung entsprechender Behältervolumina und Maßnahmen zur Entwicklung von effizienten und klimaschützenden Entsorgungswegen unter Berücksichtigung von Synergieeffekten;
e) Maßnahmen zur Vermarktung der Produkte (z. B. Kompost, Weiterverarbeitung, Vermarktung von Holzbrennstoffen, Wärmesenken für Biogasnutzung aus anaerober Vergärung, Energie etc.);
f) ggf. Entwicklung weiterer Maßnahmen zur Abfallvermeidung und zur Steigerung der Wiederverwendung (z. B. durch den Ausbau von Wertstoffhöfen).
4) Partizipationsstrategie
Es ist die Partizipationsstrategie zu beschreiben unter Berücksichtigung der Zielsetzung der Beteiligung sämtlicher betroffener Verwaltungseinheiten und aller relevanten Akteure an der Entwicklung der umzusetzenden Maßnahmen.
5) Kommunikationsstrategie
Es ist die Kommunikationsstrategie für die konsens- und unterstützungsorientierte Zusammenarbeit aller Zielgruppen zu beschreiben. 
6) Verstetigungsstrategie
Es ist die Verstetigungsstrategie zu beschreiben inklusive einer Skizzierung der dabei eingebundenen Organisationsstrukturen mit den dazugehörigen Verantwortlichkeiten und Zuständigkeiten
7) Controlling-Konzept
Es ist das Controlling-Konzept zu skizzieren. Dabei soll es sich um ein Controlling-Konzept für eine Top-down und Bottom-up-Verfolgung der Zielerreichung handeln, inklusive der Indikatoren und Rahmenbedingungen für die Datenerfassung und -auswertung. </t>
  </si>
  <si>
    <t>Endredaktion und Druck des Konzepts</t>
  </si>
  <si>
    <t>Endredaktion und Druck Summe</t>
  </si>
  <si>
    <t>4b</t>
  </si>
  <si>
    <t>4a</t>
  </si>
  <si>
    <t>Darstellung der Akteursbeteiligung im Konzept</t>
  </si>
  <si>
    <t>Organisation und Durchführung von Veranstaltungen zur Akteursbeteiligung</t>
  </si>
  <si>
    <t>Potenzialanalyse, Handlungsstrategie und Maßnahmen klimaneutrale Kommunalverwaltung bis spätestens 2035</t>
  </si>
  <si>
    <t>Hiermit wird bestätigt, dass noch kein Fokus- oder Klimaschutzteilkonzept für das Handlungsfeld Wärme- und Kältenutzung vorliegt.</t>
  </si>
  <si>
    <t>4.1.11 kommunale Wärmeplanung</t>
  </si>
  <si>
    <t xml:space="preserve">1) Bestandsanalyse sowie Energie- und Treibhausgasbilanz inklusive räumlicher Darstellung
• Gebäude- und Siedlungstypen unter anderem nach Baualtersklassen
• Energieverbrauchs- oder Energiebedarfserhebungen
• Beheizungsstruktur der Wohn- und Nichtwohngebäude
• Wärme- und Kälteinfrastruktur (Gas- und Wärmenetze, Heizzentralen, Speicher)
2) Potenzialanalyse
• Potenziale zur Energieeinsparung für Raumwärme, Warmwasser und Prozesswärme in den Sektoren Haushalte, Gewerbe-Handel-Dienstleistungen, Industrie und öffentlichen Liegenschaften.
• Lokale Potenziale erneuerbarer Energien und Abwärmepotenziale.
3) Zielszenarien und Entwicklungspfade
• Mindestens unter Berücksichtigung der jeweils aktuell gültigen THG-Minderungsziele der Bundesregierung inklusive räumlich aufgelöster Beschreibung der dafür benötigten Energieeinsparungen und zukünftigen Versorgungsstruktur und damit verbundener Kostenprognosen in Form von Wärmevollkostenvergleichen für eine Anzahl typischer Versorgungsfälle, die die Versorgung in der Kommune umfassend abbilden, sowohl für die Einzelheizung als auch für die Versorgung mit Fernwärme.
• Biomasse und nicht-lokale Ressourcen sind effizient und ressourcenschonend sowie nach Maßgabe der Wirtschaftlichkeit nur dort in der Wärmeversorgung einzuplanen und einzusetzen, wo vertretbare Alternativen fehlen. Die energetische Nutzung von Biomasse ist auf Abfall- und Reststoffe zu beschränken. Diese Nutzung kann insbesondere bei lokaler Verfügbarkeit im ländlichen Raum vertretbar sein.
• Wenn nicht-lokale Ressourcen eingeplant werden, ist darzulegen, welche Umwelt- und Klimaauswirkungen dies zur Folge hätte und welche ökonomischen Vorteile und Risiken sich für die Verbraucher ergeben im Vergleich zu Alternativen auf Basis lokaler erneuerbarer Energien (Wärmevollkosten inkl. Infrastrukturbeitrag) und wie die Versorgung infrastrukturell sichergestellt werden kann (z. B. Anbindung an Wasserstofftransport- und -verteilnetz). Ggf. vorliegende oder in Arbeit befindliche Transformationspläne gemäß Bundesförderung für effiziente Wärmenetze (BEW) sind hinsichtlich der Entwicklung der leitungsgebundenen Wärmeversorgung zu berücksichtigen. Hinsichtlich der zukünftigen Nutzung von Biomasse und Wasserstoff in der leitungsgebundenen Wärmeversorgung gelten die Anforderungen aus den Transformationsplänen der BEW.
4) Strategie und Maßnahmenkatalog
• Identifikation von zwei bis drei Fokusgebieten, die bezüglich einer klimafreundlichen Wärmeversorgung kurz- und mittelfristig prioritär zu behandeln sind
• Für diese Fokusgebiete sind zusätzlich konkrete, räumlich verortete Umsetzungspläne zu erarbeiten
5) Partizipationsstrategie
• Beteiligung sämtlicher betroffener Verwaltungseinheiten
• Beteiligung aller weiteren relevanten Akteure, insbesondere relevanter Energieversorger (Wärme, Gas, Strom), an der Entwicklung der Zielszenarien und Entwicklungspfade sowie der umzusetzenden Maßnahmen
6) Verstetigungsstrategie 
• Inklusive Organisationsstrukturen und Verantwortlichkeiten/Zuständigkeiten 
7) Controlling-Konzept
• Top-down- und Bottom-up-Verfolgung
• Benennung von Indikatoren
• Benennung von Rahmenbedingungen für Datenerfassung und -auswertung
8) Kommunikationsstrategie für die konsens- und unterstützungsorientierte Zusammenarbeit mit allen Zielgruppen
</t>
  </si>
  <si>
    <t>Endredaktion und Druck des kommunalen Wärmeplans</t>
  </si>
  <si>
    <t>Bitte beachten Sie: Zuwendungsfähig sind Sachausgaben für die begleitende Öffentlichkeitsarbeit im Umfang von maximal 5.000 Euro.
Die begleitende Öffentlichkeitsarbeit soll sowohl über die Inhalte, Maßnahmen und Umsetzung des kommunalen Wärmeplans informieren, als auch der Sensibilisierung und Mobilisierung der Bürgerinnen und Bürger dienen, sofern dadurch die Umsetzung der im kommunalen Wärmeplan aufgeführten Maßnahmen unterstützt wird.</t>
  </si>
  <si>
    <t xml:space="preserve">Gefördert wird die Erstellung kommunaler Wärmepläne durch fachkundige externe Dienstleister.
Förderfähige Maßnahmen:
• Einsatz fachkundiger externer Dienstleister zur 
  - Planerstellung
  - Organisation und Durchführung von Akteursbeteiligung
• Begleitende Öffentlichkeitsarbeit
Der Bewilligungszeitraum beträgt in der Regel zwölf Monate. 
</t>
  </si>
  <si>
    <t>Inhaltliche Anforderungen/Struktur des Fokuskonzeptes:</t>
  </si>
  <si>
    <t xml:space="preserve">Bitte füllen Sie alle für Ihren Vorhabentyp angezeigten Tabellenblätter aus. In dringenden Notfällen können Sie sich auch an die Beratungshotline nki-kommunalrichtlinie@z-u-g.org oder telefonisch an die 030 700 181-880 wenden. </t>
  </si>
  <si>
    <t xml:space="preserve">
1) Bestandsanalyse und Energie- und Treibhausgasbilanz
Bestandsanalyse sowie Energie- und Treibhausgasbilanz des Verkehrsaufkommens nach Verursachern (motorisierter Individualverkehr [MIV], öffentlicher Personen-Nahverkehr [ÖPNV], Güterverkehr etc.) und Energieträgern 
• Räumliche Darstellung der Infrastruktur für die im Konzept behandelten Verkehrsträger (z. B: Radwegenetze, Straßen- und Schienennetze, Parkraumbewirtschaftung, Verknüpfung von verschiedenen Verkehrsmitteln durch „Bike &amp; Ride“- oder „Park &amp; Ride“-Angebote) 
• Sammlung ortsspezifischer Verkehrsdaten (z. B. die Fahrleistungen des MIV, ÖPNV, Verkehrsmittelwahl der Einwohner, Pendlerströme, Verkehrsknotenpunkte etc.)
• Erstellung einer THG-Bilanz auf Basis der Verkehrsdaten pro Verkehrsleistung und festgelegter Emissionsfaktoren (z. B. BISKO-Standard) 
2) Potenzialanalyse
Potenzialanalyse, Szenarien und THG-Minderungsziele mindestens unter Berücksichtigung der jeweils aktuell gültigen THG-Minderungsziele der Bundesregierung
• Vermeidungs- und Verlagerungsstrategien
• Effizienzsteigerung
• Nutzungsmöglichkeiten alternativer Kraftstoffe.
3) Strategie und Maßnahmenkatalog
Entwicklung einer Strategie und eines Maßnahmenkatalogs zur Umsetzung und zur Erreichung der Energie- und THG-Einsparung 
4) Partizipationsstrategie
Beteiligung sämtlicher betroffener Verwaltungseinheiten und aller weiteren relevanten Akteure an der Entwicklung der umzusetzenden Maßnahmen.
5) Verstetigungsstrategie 
Verstetigungsstrategie inklusive Organisationsstrukturen und Verantwortlichkeiten/Zuständigkeiten
6) Controlling-Konzept 
Verstetigungsstrategie inklusive Organisationsstrukturen und Verantwortlichkeiten/Zuständigkeiten
7) Kommunikationsstrategie 
Kommunikationsstrategie für die konsens- und unterstützungsorientierte Zusammenarbeit mit allen Zielgruppen
8) Nicht zuwendungsfähige Ausgaben
Nicht gefördert werden Vorhaben mit thematischer Ausrichtung auf alternative Antriebskonzepte für Nutzfahrzeuge, wenn diese auf noch nicht etablierten Kraftstoffen und Technologien basieren, zum Beispiel Brennstoffzellen.
</t>
  </si>
  <si>
    <r>
      <rPr>
        <b/>
        <sz val="14"/>
        <color rgb="FF008540"/>
        <rFont val="Arial"/>
        <family val="2"/>
      </rPr>
      <t xml:space="preserve">Vorhabenbeschreibung </t>
    </r>
    <r>
      <rPr>
        <b/>
        <sz val="12"/>
        <color rgb="FF008540"/>
        <rFont val="Arial"/>
        <family val="2"/>
      </rPr>
      <t xml:space="preserve">
4.1.10 a): Erstellung eines 
Fokuskonzeptes</t>
    </r>
  </si>
  <si>
    <t>Richtlinie zur Bundesförderung kommunaler
Klimaschutz (Kommunalrichtlinie)</t>
  </si>
  <si>
    <t>Hinweise zu zuwendungsfähigen Ausgaben Öffentlichkeitsarbeit (ÖA)</t>
  </si>
  <si>
    <t>Leitfaden zur Benutzung des Antragsformulars Erstellung eines Fokuskonzeptes:</t>
  </si>
  <si>
    <t>Gefördert wird die Erstellung von Fokuskonzepten durch fachkundige externe Dienstleister für die sektoralen Handlungsfelder
- Mobilität
- Abfallwirtschaft
Der Bewilligungszeitraum beträgt in der Regel zwölf Monate.</t>
  </si>
  <si>
    <t>Bitte bestätigen Sie, dass das zu erstellende Fokuskonzept folgende Inhalte umfassen wird:</t>
  </si>
  <si>
    <t>Hiermit wird bestätigt, dass das Fokuskonzept die oben genannten Inhalte umfassen wird.</t>
  </si>
  <si>
    <t xml:space="preserve">Begleitende Öffentlichkeitsarbeit 
</t>
  </si>
  <si>
    <t>Summe Begleitende Öffentlichkeitsarbeit:</t>
  </si>
  <si>
    <t>Ausgabenkalkulation</t>
  </si>
  <si>
    <t>Pos. 1-8: Dienstleister</t>
  </si>
  <si>
    <t>Pos. 9: Begleitende Öffentlichkeitsarbeit</t>
  </si>
  <si>
    <t>Summe Akteursbeteiligung, Endredaktion und Druck, Begleitende Öffentlichkeitsarbeit:</t>
  </si>
  <si>
    <r>
      <rPr>
        <b/>
        <sz val="9"/>
        <rFont val="Arial"/>
        <family val="2"/>
      </rPr>
      <t>Hinweis:</t>
    </r>
    <r>
      <rPr>
        <sz val="9"/>
        <rFont val="Arial"/>
        <family val="2"/>
      </rPr>
      <t xml:space="preserve">
Zuwendungsfähig ist der Einsatz fachkundiger externer Dienstleister zur Konzepterstellung. Bitte beachten Sie, dass für die Organisation und Durchführung von Akteursbeteiligung, begleitende Öffentlichkeitsarbeit, Endredaktion sowie für den Druck des Konzeptes maximal Ausgaben im Umfang von 20.000 € zuwendungsfähig sind. 
Ausgaben sind immer in Brutto anzugeben.</t>
    </r>
  </si>
  <si>
    <t xml:space="preserve">Zuwendungsfähig ist der Einsatz fachkundiger externer Dienstleister zur Konzepterstellung. Bitte beachten Sie, dass für die Organisation und Durchführung von Akteursbeteiligung, begleitende Öffentlichkeitsarbeit, Endredaktion sowie für den Druck des Konzeptes maximal Ausgaben im Umfang von 20.000 € zuwendungsfähig sind. 
Die begleitende Öffentlichkeitsarbeit soll sowohl über die Inhalte, Maßnahmen und Umsetzung des Klimaschutzkonzepts informieren, als auch der Sensibilisierung und Mobilisierung der Bürgerinnen und Bürger dienen, sofern dadurch die Umsetzung der im Klimaschutzkonzept aufgeführten Maßnahmen unterstützt wird. </t>
  </si>
  <si>
    <t>Im Rahmen der Antragsprüfung wird es notwendig sein, die ausgefüllte und final angepasste Vorhabenbeschreibung als Excel-Datei per E-Mail an den/die fachliche(n) Ansprechpartner*in  bei  der Projektträgerin zu senden.</t>
  </si>
  <si>
    <r>
      <rPr>
        <b/>
        <i/>
        <sz val="9"/>
        <rFont val="Arial"/>
        <family val="2"/>
      </rPr>
      <t xml:space="preserve">Hinweis: </t>
    </r>
    <r>
      <rPr>
        <i/>
        <sz val="9"/>
        <rFont val="Arial"/>
        <family val="2"/>
      </rPr>
      <t>Dieser Wert errechnet sich aus den Eintragungen und Berechnungen aus dem Tabellenblatt "Begl_Öffentlichkeitsarbeit"</t>
    </r>
  </si>
  <si>
    <r>
      <rPr>
        <b/>
        <sz val="9"/>
        <color theme="1"/>
        <rFont val="Arial"/>
        <family val="2"/>
      </rPr>
      <t>Easy-Online-Antrag</t>
    </r>
    <r>
      <rPr>
        <sz val="9"/>
        <color theme="1"/>
        <rFont val="Arial"/>
        <family val="2"/>
      </rPr>
      <t xml:space="preserve"> (mit übereinstimmenden Ausgaben) ausgedruckt und mit der Unterschrift des Antragstellers (Erste Seite). Zusätzlich muss diese Vorhabenbeschreibung bei der Antragstellung bei easy-Online </t>
    </r>
    <r>
      <rPr>
        <b/>
        <sz val="9"/>
        <color theme="1"/>
        <rFont val="Arial"/>
        <family val="2"/>
      </rPr>
      <t>hochgeladen</t>
    </r>
    <r>
      <rPr>
        <sz val="9"/>
        <color theme="1"/>
        <rFont val="Arial"/>
        <family val="2"/>
      </rPr>
      <t xml:space="preserve"> werden.
</t>
    </r>
    <r>
      <rPr>
        <b/>
        <sz val="9"/>
        <color theme="1"/>
        <rFont val="Arial"/>
        <family val="2"/>
      </rPr>
      <t>Bitte halten Sie dieses Dokument bereit, wenn Sie den Antrag in Easy-Online ausfüllen!</t>
    </r>
  </si>
  <si>
    <r>
      <t xml:space="preserve">
Zuwendungsfähige Öffentlichkeitsarbeit soll sowohl über die Erstellung, Inhalte und Maßnahmen des Fokuskonzeptes informieren, als auch der Sensibilisierung und Mobilisierung der Bürgerinnen und Bürger dienen.
Zuwendungsfähig sind z.B. Ausgaben für Ausstattung von Veranstaltungen z.B. Stehtisch für Messestand/- wand, Barhocker, Broschürenständer, Stellwand, individuelle Gestaltung (z.B. Druck von Plakaten, Postern, Flyern, Rollups, Werbebannern, Kundenstopper, barrierefreie Broschüren zur Bewerbung von Kampagnen, Aktionstagen, Anzeigenschaltung und ressourcenschonende Produktion in lokalen Medien/ Pressearbeit (z.B. Pressefotos, Zeitungsanzeige, Radio-Spot, Videoclips, Audio-Podcasts, social-media, Reklame im Kino, Radio, etc.)
</t>
    </r>
    <r>
      <rPr>
        <b/>
        <sz val="9"/>
        <rFont val="Arial"/>
        <family val="2"/>
      </rPr>
      <t>Give-aways</t>
    </r>
    <r>
      <rPr>
        <sz val="9"/>
        <rFont val="Arial"/>
        <family val="2"/>
      </rPr>
      <t xml:space="preserve"> werden nur im geringem Umfang und nur dann als zuwendungsfähig anerkannt, wenn sie die folgenden Kriterien erfüllen:
• Sie sollen öffentlichkeitswirksam sein, d.h. es muss auf jeden Fall das Logo der NKI aufgedruckt sein und ein Slogan Bezug zum Klimaschutz.
• Sie sollen zur mehrfachen Anwendung sein und dadurch eine langanhaltende Wirksamkeit der Öffentlichkeitsarbeit generieren (keine Einmal-/Wegwerfprodukte).
• Sie sollen nachhaltig und ressourcenschonend hergestellt sein.
</t>
    </r>
    <r>
      <rPr>
        <b/>
        <sz val="9"/>
        <rFont val="Arial"/>
        <family val="2"/>
      </rPr>
      <t>Nicht</t>
    </r>
    <r>
      <rPr>
        <sz val="9"/>
        <rFont val="Arial"/>
        <family val="2"/>
      </rPr>
      <t xml:space="preserve"> zuwendungsfähig sind z.B. Ausgaben für PC, Telefon, Büromöbel, Laptop sowie Beamer, externe Festplatten, mobile Endgeräte (Smartphone, Tablet), Digitalkamera, Messgeräte, Drucker, Bildschirme (auch TV-Geräte), Licht-Bühnentechnik, Soundanalgen sowie übliche Arbeitsplatz-Software, Software-Lizenzen für Beteiligungsplattformen u.a., Backwaren, Getränke, Catering, Busexkursionen, Eintrittsgebühren, Teilnahmegebühren, Preise, Preisgelder, Pokale, Geschenke, u.s.w.
Grundsätzlich gilt, dass eine Spezifizierung der konkreten Ausgaben im laufenden Vorhaben und spätestens mit dem Verwendungsnachweis zu erfolgen hat. Im Rahmen der Einreichung der Belegliste des Verwendungsnachweises wird geprüft, ob die o.g. Vorgaben eingehalten wurden. Es werden nichtzuwendungsfähige Ausgaben gestrichen. 
</t>
    </r>
  </si>
  <si>
    <r>
      <rPr>
        <b/>
        <sz val="9"/>
        <rFont val="Arial"/>
        <family val="2"/>
      </rPr>
      <t>Hinweis:</t>
    </r>
    <r>
      <rPr>
        <sz val="9"/>
        <rFont val="Arial"/>
        <family val="2"/>
      </rPr>
      <t xml:space="preserve">
Bitte holen Sie sich mehrere Angebote ein. Ggf. fügen Sie das/die Angebot/e dem Förderantrag bei. Erteilen Sie nicht auf der Grundlage dieser Angebote den Zuschlag, sondern holen Sie nach Erhalt des Zuwendungsbescheides neue Angebote ein! Andernfalls könnte dies als vorzeitiger Projektstart gelten. Bitte vergeben Sie den Auftrag erst nach der Bewilligung der Förderung.</t>
    </r>
  </si>
  <si>
    <t>Antragsteller*in:</t>
  </si>
  <si>
    <t xml:space="preserve">• Die nachfolgenden Tabellenblätter (Antragsteller*in, Inhalte und Handlungsfelder, Kalkulation Dienstleister, Begl. Öffentlichkeitsarbeit etc.) befüllen.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</si>
</sst>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7" formatCode="#,##0.00\ &quot;€&quot;;\-#,##0.00\ &quot;€&quot;"/>
    <numFmt numFmtId="44" formatCode="_-* #,##0.00\ &quot;€&quot;_-;\-* #,##0.00\ &quot;€&quot;_-;_-* &quot;-&quot;??\ &quot;€&quot;_-;_-@_-"/>
    <numFmt numFmtId="164" formatCode="#,##0.00\ &quot;€&quot;"/>
    <numFmt numFmtId="165" formatCode="0.0"/>
    <numFmt numFmtId="166" formatCode="[$-407]mmmm\ yy;@"/>
    <numFmt numFmtId="167" formatCode="[$-407]d/\ mmmm\ yyyy;@"/>
    <numFmt numFmtId="168" formatCode="#,##0.0"/>
  </numFmts>
  <fonts count="73"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u/>
      <sz val="11"/>
      <color theme="10"/>
      <name val="Calibri"/>
      <family val="2"/>
      <scheme val="minor"/>
    </font>
    <font>
      <sz val="9"/>
      <color theme="1"/>
      <name val="Arial"/>
      <family val="2"/>
    </font>
    <font>
      <sz val="10"/>
      <color theme="1"/>
      <name val="Arial"/>
      <family val="2"/>
    </font>
    <font>
      <sz val="9"/>
      <color theme="0" tint="-0.499984740745262"/>
      <name val="Arial"/>
      <family val="2"/>
    </font>
    <font>
      <b/>
      <sz val="9"/>
      <color theme="1"/>
      <name val="Arial"/>
      <family val="2"/>
    </font>
    <font>
      <sz val="9"/>
      <name val="Arial"/>
      <family val="2"/>
    </font>
    <font>
      <sz val="9"/>
      <color rgb="FFFF0000"/>
      <name val="Arial"/>
      <family val="2"/>
    </font>
    <font>
      <b/>
      <sz val="10"/>
      <color rgb="FFFF0000"/>
      <name val="Arial"/>
      <family val="2"/>
    </font>
    <font>
      <sz val="12"/>
      <color rgb="FFFF0000"/>
      <name val="Arial"/>
      <family val="2"/>
    </font>
    <font>
      <i/>
      <sz val="9"/>
      <color theme="1"/>
      <name val="Arial"/>
      <family val="2"/>
    </font>
    <font>
      <b/>
      <sz val="9"/>
      <color theme="0" tint="-0.34998626667073579"/>
      <name val="Arial"/>
      <family val="2"/>
    </font>
    <font>
      <b/>
      <sz val="9"/>
      <name val="Arial"/>
      <family val="2"/>
    </font>
    <font>
      <b/>
      <sz val="9"/>
      <color theme="0"/>
      <name val="Arial"/>
      <family val="2"/>
    </font>
    <font>
      <sz val="8"/>
      <color theme="0" tint="-0.499984740745262"/>
      <name val="Arial"/>
      <family val="2"/>
    </font>
    <font>
      <sz val="10"/>
      <name val="Arial"/>
      <family val="2"/>
    </font>
    <font>
      <b/>
      <sz val="12"/>
      <color rgb="FF00589C"/>
      <name val="Arial"/>
      <family val="2"/>
    </font>
    <font>
      <b/>
      <sz val="16"/>
      <color rgb="FF00589C"/>
      <name val="Arial"/>
      <family val="2"/>
    </font>
    <font>
      <sz val="9"/>
      <color rgb="FF000000"/>
      <name val="Arial"/>
      <family val="2"/>
    </font>
    <font>
      <b/>
      <sz val="9"/>
      <color rgb="FFFF0000"/>
      <name val="Arial"/>
      <family val="2"/>
    </font>
    <font>
      <b/>
      <sz val="9"/>
      <color theme="4"/>
      <name val="Arial"/>
      <family val="2"/>
    </font>
    <font>
      <sz val="8"/>
      <color rgb="FF000000"/>
      <name val="Tahoma"/>
      <family val="2"/>
    </font>
    <font>
      <sz val="10"/>
      <color theme="1"/>
      <name val="Calibri"/>
      <family val="2"/>
      <scheme val="minor"/>
    </font>
    <font>
      <sz val="8"/>
      <color rgb="FFFF0000"/>
      <name val="Arial"/>
      <family val="2"/>
    </font>
    <font>
      <sz val="8"/>
      <color theme="0" tint="-0.34998626667073579"/>
      <name val="Arial"/>
      <family val="2"/>
    </font>
    <font>
      <sz val="9"/>
      <color theme="1" tint="0.34998626667073579"/>
      <name val="Arial"/>
      <family val="2"/>
    </font>
    <font>
      <sz val="9"/>
      <color theme="0" tint="-0.34998626667073579"/>
      <name val="Arial"/>
      <family val="2"/>
    </font>
    <font>
      <sz val="8"/>
      <color theme="1"/>
      <name val="Arial"/>
      <family val="2"/>
    </font>
    <font>
      <b/>
      <sz val="11"/>
      <color theme="1"/>
      <name val="Arial"/>
      <family val="2"/>
    </font>
    <font>
      <b/>
      <sz val="11"/>
      <color theme="1"/>
      <name val="Calibri"/>
      <family val="2"/>
      <scheme val="minor"/>
    </font>
    <font>
      <sz val="11"/>
      <name val="Arial"/>
      <family val="2"/>
    </font>
    <font>
      <sz val="11"/>
      <color rgb="FFFF0000"/>
      <name val="Calibri"/>
      <family val="2"/>
      <scheme val="minor"/>
    </font>
    <font>
      <b/>
      <sz val="14"/>
      <color rgb="FF00589C"/>
      <name val="Arial"/>
      <family val="2"/>
    </font>
    <font>
      <u/>
      <sz val="11"/>
      <color theme="1"/>
      <name val="Calibri"/>
      <family val="2"/>
      <scheme val="minor"/>
    </font>
    <font>
      <sz val="11"/>
      <name val="Calibri"/>
      <family val="2"/>
      <scheme val="minor"/>
    </font>
    <font>
      <b/>
      <sz val="9"/>
      <color rgb="FF00589C"/>
      <name val="Arial"/>
      <family val="2"/>
    </font>
    <font>
      <b/>
      <sz val="10"/>
      <color theme="1"/>
      <name val="Arial"/>
      <family val="2"/>
    </font>
    <font>
      <sz val="11"/>
      <color theme="0" tint="-0.34998626667073579"/>
      <name val="Calibri"/>
      <family val="2"/>
      <scheme val="minor"/>
    </font>
    <font>
      <i/>
      <sz val="11"/>
      <color theme="1"/>
      <name val="Calibri"/>
      <family val="2"/>
      <scheme val="minor"/>
    </font>
    <font>
      <b/>
      <sz val="11"/>
      <name val="Calibri"/>
      <family val="2"/>
      <scheme val="minor"/>
    </font>
    <font>
      <b/>
      <sz val="10"/>
      <color theme="6"/>
      <name val="Arial"/>
      <family val="2"/>
    </font>
    <font>
      <b/>
      <sz val="11"/>
      <color rgb="FF00589C"/>
      <name val="Arial"/>
      <family val="2"/>
    </font>
    <font>
      <b/>
      <sz val="10"/>
      <name val="Arial"/>
      <family val="2"/>
    </font>
    <font>
      <sz val="12"/>
      <color theme="1"/>
      <name val="Arial"/>
      <family val="2"/>
    </font>
    <font>
      <u/>
      <sz val="11"/>
      <color theme="10"/>
      <name val="Arial"/>
      <family val="2"/>
    </font>
    <font>
      <sz val="14"/>
      <color theme="1"/>
      <name val="Arial"/>
      <family val="2"/>
    </font>
    <font>
      <b/>
      <sz val="11"/>
      <color theme="1" tint="0.34998626667073579"/>
      <name val="Calibri"/>
      <family val="2"/>
      <scheme val="minor"/>
    </font>
    <font>
      <sz val="11"/>
      <color theme="1" tint="0.34998626667073579"/>
      <name val="Calibri"/>
      <family val="2"/>
      <scheme val="minor"/>
    </font>
    <font>
      <sz val="11"/>
      <color theme="0"/>
      <name val="Calibri"/>
      <family val="2"/>
      <scheme val="minor"/>
    </font>
    <font>
      <sz val="28"/>
      <name val="Calibri"/>
      <family val="2"/>
      <scheme val="minor"/>
    </font>
    <font>
      <sz val="9"/>
      <color theme="0"/>
      <name val="Arial"/>
      <family val="2"/>
    </font>
    <font>
      <b/>
      <u/>
      <sz val="9"/>
      <name val="Arial"/>
      <family val="2"/>
    </font>
    <font>
      <b/>
      <sz val="9"/>
      <color rgb="FF008540"/>
      <name val="Arial"/>
      <family val="2"/>
    </font>
    <font>
      <b/>
      <sz val="16"/>
      <color rgb="FF008540"/>
      <name val="Arial"/>
      <family val="2"/>
    </font>
    <font>
      <b/>
      <sz val="11"/>
      <color rgb="FF008540"/>
      <name val="Arial"/>
      <family val="2"/>
    </font>
    <font>
      <b/>
      <sz val="12"/>
      <color rgb="FF008540"/>
      <name val="Arial"/>
      <family val="2"/>
    </font>
    <font>
      <b/>
      <sz val="12"/>
      <name val="Arial"/>
      <family val="2"/>
    </font>
    <font>
      <b/>
      <sz val="10"/>
      <color rgb="FF008540"/>
      <name val="Arial"/>
      <family val="2"/>
    </font>
    <font>
      <sz val="10"/>
      <color rgb="FF000000"/>
      <name val="Arial"/>
      <family val="2"/>
    </font>
    <font>
      <sz val="10"/>
      <color rgb="FF262626"/>
      <name val="Arial"/>
      <family val="2"/>
    </font>
    <font>
      <b/>
      <sz val="10"/>
      <color theme="0" tint="-0.14999847407452621"/>
      <name val="Arial"/>
      <family val="2"/>
    </font>
    <font>
      <sz val="10"/>
      <color theme="0" tint="-0.14999847407452621"/>
      <name val="Arial"/>
      <family val="2"/>
    </font>
    <font>
      <b/>
      <sz val="14"/>
      <color rgb="FF008540"/>
      <name val="Arial"/>
      <family val="2"/>
    </font>
    <font>
      <b/>
      <sz val="10"/>
      <color theme="1" tint="0.499984740745262"/>
      <name val="Arial"/>
      <family val="2"/>
    </font>
    <font>
      <sz val="11"/>
      <color rgb="FFFF0000"/>
      <name val="Arial"/>
      <family val="2"/>
    </font>
    <font>
      <b/>
      <sz val="11"/>
      <name val="Arial"/>
      <family val="2"/>
    </font>
    <font>
      <i/>
      <sz val="9"/>
      <name val="Arial"/>
      <family val="2"/>
    </font>
    <font>
      <b/>
      <i/>
      <sz val="9"/>
      <name val="Arial"/>
      <family val="2"/>
    </font>
    <font>
      <sz val="9"/>
      <name val="Calibri"/>
      <family val="2"/>
      <scheme val="minor"/>
    </font>
    <font>
      <sz val="10"/>
      <color rgb="FFFF0000"/>
      <name val="Arial"/>
      <family val="2"/>
    </font>
  </fonts>
  <fills count="20">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solid">
        <fgColor rgb="FFFCF2F7"/>
        <bgColor indexed="64"/>
      </patternFill>
    </fill>
    <fill>
      <patternFill patternType="lightUp"/>
    </fill>
    <fill>
      <patternFill patternType="solid">
        <fgColor rgb="FFE3B5A2"/>
        <bgColor indexed="64"/>
      </patternFill>
    </fill>
    <fill>
      <patternFill patternType="solid">
        <fgColor theme="0"/>
        <bgColor indexed="64"/>
      </patternFill>
    </fill>
    <fill>
      <patternFill patternType="solid">
        <fgColor theme="0" tint="-4.9989318521683403E-2"/>
        <bgColor indexed="64"/>
      </patternFill>
    </fill>
    <fill>
      <patternFill patternType="solid">
        <fgColor rgb="FF9CB7D6"/>
        <bgColor indexed="64"/>
      </patternFill>
    </fill>
    <fill>
      <patternFill patternType="solid">
        <fgColor rgb="FFFF0000"/>
        <bgColor indexed="64"/>
      </patternFill>
    </fill>
    <fill>
      <patternFill patternType="solid">
        <fgColor rgb="FFFFFF00"/>
        <bgColor indexed="64"/>
      </patternFill>
    </fill>
    <fill>
      <patternFill patternType="solid">
        <fgColor rgb="FFDCE6F0"/>
        <bgColor indexed="64"/>
      </patternFill>
    </fill>
    <fill>
      <patternFill patternType="solid">
        <fgColor rgb="FFEBF1DE"/>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rgb="FFA0A0A0"/>
        <bgColor indexed="64"/>
      </patternFill>
    </fill>
    <fill>
      <patternFill patternType="solid">
        <fgColor rgb="FFE8E8E8"/>
        <bgColor indexed="64"/>
      </patternFill>
    </fill>
    <fill>
      <patternFill patternType="solid">
        <fgColor theme="0" tint="-0.149967955565050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988">
    <xf numFmtId="0" fontId="0" fillId="0" borderId="0" xfId="0"/>
    <xf numFmtId="0" fontId="5" fillId="0" borderId="0" xfId="0" applyFont="1"/>
    <xf numFmtId="164" fontId="0" fillId="0" borderId="0" xfId="0" applyNumberFormat="1"/>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horizontal="center"/>
    </xf>
    <xf numFmtId="39" fontId="5" fillId="0" borderId="0" xfId="1" applyNumberFormat="1" applyFont="1" applyBorder="1" applyAlignment="1">
      <alignment horizontal="center" vertical="center"/>
    </xf>
    <xf numFmtId="0" fontId="11" fillId="0" borderId="0" xfId="0" applyFont="1"/>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left" vertical="top"/>
    </xf>
    <xf numFmtId="0" fontId="5" fillId="0" borderId="0" xfId="0" applyFont="1" applyAlignment="1">
      <alignment horizontal="left" vertical="top" wrapText="1"/>
    </xf>
    <xf numFmtId="0" fontId="12" fillId="0" borderId="0" xfId="0" applyFont="1" applyAlignment="1">
      <alignment vertical="top" wrapText="1"/>
    </xf>
    <xf numFmtId="0" fontId="10" fillId="0" borderId="0" xfId="0" applyFont="1" applyAlignment="1">
      <alignment vertical="top" wrapText="1"/>
    </xf>
    <xf numFmtId="0" fontId="0" fillId="0" borderId="1" xfId="0" applyBorder="1"/>
    <xf numFmtId="0" fontId="18" fillId="0" borderId="1" xfId="0" applyFont="1" applyBorder="1" applyAlignment="1">
      <alignment vertical="center"/>
    </xf>
    <xf numFmtId="0" fontId="18" fillId="4" borderId="0" xfId="0" applyFont="1" applyFill="1" applyAlignment="1">
      <alignment horizontal="left" vertical="top"/>
    </xf>
    <xf numFmtId="44" fontId="18" fillId="3" borderId="1" xfId="1" applyFont="1" applyFill="1" applyBorder="1" applyAlignment="1" applyProtection="1">
      <alignment vertical="center" wrapText="1" shrinkToFit="1"/>
    </xf>
    <xf numFmtId="44" fontId="18" fillId="5" borderId="1" xfId="1" applyFont="1" applyFill="1" applyBorder="1" applyAlignment="1" applyProtection="1">
      <alignment vertical="center" wrapText="1" shrinkToFit="1"/>
    </xf>
    <xf numFmtId="0" fontId="5" fillId="6" borderId="1" xfId="0" applyFont="1" applyFill="1" applyBorder="1" applyAlignment="1">
      <alignment horizontal="center" wrapText="1"/>
    </xf>
    <xf numFmtId="0" fontId="18" fillId="7" borderId="1" xfId="0" applyFont="1" applyFill="1" applyBorder="1" applyAlignment="1">
      <alignment vertical="top" wrapText="1"/>
    </xf>
    <xf numFmtId="0" fontId="8" fillId="10" borderId="1" xfId="0" applyFont="1" applyFill="1" applyBorder="1" applyAlignment="1">
      <alignment horizontal="center" vertical="center"/>
    </xf>
    <xf numFmtId="0" fontId="5" fillId="9" borderId="12" xfId="0" applyFont="1" applyFill="1" applyBorder="1" applyAlignment="1">
      <alignment horizontal="center" vertical="center"/>
    </xf>
    <xf numFmtId="39" fontId="5" fillId="8" borderId="1" xfId="1" applyNumberFormat="1" applyFont="1" applyFill="1" applyBorder="1" applyAlignment="1">
      <alignment horizontal="center" vertical="center"/>
    </xf>
    <xf numFmtId="7" fontId="5" fillId="8" borderId="0" xfId="1" applyNumberFormat="1" applyFont="1" applyFill="1" applyBorder="1" applyAlignment="1">
      <alignment horizontal="center" vertical="center"/>
    </xf>
    <xf numFmtId="0" fontId="9" fillId="0" borderId="0" xfId="0" applyFont="1" applyAlignment="1">
      <alignment vertical="center"/>
    </xf>
    <xf numFmtId="0" fontId="23" fillId="4" borderId="0" xfId="0" applyFont="1" applyFill="1" applyAlignment="1">
      <alignment horizontal="left" vertical="top" wrapText="1"/>
    </xf>
    <xf numFmtId="0" fontId="5" fillId="5" borderId="1" xfId="0" applyFont="1" applyFill="1" applyBorder="1" applyAlignment="1" applyProtection="1">
      <alignment horizontal="center" vertical="center"/>
      <protection locked="0"/>
    </xf>
    <xf numFmtId="0" fontId="5" fillId="5" borderId="13" xfId="0" applyFont="1" applyFill="1" applyBorder="1" applyAlignment="1" applyProtection="1">
      <alignment horizontal="center" vertical="center"/>
      <protection locked="0"/>
    </xf>
    <xf numFmtId="7" fontId="22" fillId="8" borderId="0" xfId="1" applyNumberFormat="1" applyFont="1" applyFill="1" applyBorder="1" applyAlignment="1" applyProtection="1">
      <alignment horizontal="center" vertical="center" wrapText="1"/>
      <protection hidden="1"/>
    </xf>
    <xf numFmtId="0" fontId="5" fillId="8" borderId="0" xfId="0" applyFont="1" applyFill="1"/>
    <xf numFmtId="7" fontId="22" fillId="8" borderId="0" xfId="1" applyNumberFormat="1" applyFont="1" applyFill="1" applyBorder="1" applyAlignment="1" applyProtection="1">
      <alignment vertical="center" wrapText="1"/>
      <protection hidden="1"/>
    </xf>
    <xf numFmtId="0" fontId="5" fillId="9" borderId="23" xfId="0" applyFont="1" applyFill="1" applyBorder="1" applyAlignment="1">
      <alignment horizontal="center" vertical="center"/>
    </xf>
    <xf numFmtId="0" fontId="5" fillId="0" borderId="31" xfId="0" applyFont="1" applyBorder="1"/>
    <xf numFmtId="39" fontId="5" fillId="8" borderId="13" xfId="1" applyNumberFormat="1" applyFont="1" applyFill="1" applyBorder="1" applyAlignment="1">
      <alignment horizontal="center" vertical="center"/>
    </xf>
    <xf numFmtId="0" fontId="5" fillId="0" borderId="33" xfId="0" applyFont="1" applyBorder="1"/>
    <xf numFmtId="0" fontId="9" fillId="4" borderId="0" xfId="0" applyFont="1" applyFill="1" applyAlignment="1">
      <alignment horizontal="left" vertical="center"/>
    </xf>
    <xf numFmtId="0" fontId="8" fillId="0" borderId="33" xfId="0" applyFont="1" applyBorder="1"/>
    <xf numFmtId="14" fontId="5" fillId="8" borderId="18" xfId="0" applyNumberFormat="1" applyFont="1" applyFill="1" applyBorder="1" applyAlignment="1">
      <alignment horizontal="center" vertical="center"/>
    </xf>
    <xf numFmtId="14" fontId="5" fillId="0" borderId="0" xfId="0" applyNumberFormat="1" applyFont="1"/>
    <xf numFmtId="7" fontId="9" fillId="0" borderId="1" xfId="1" applyNumberFormat="1" applyFont="1" applyFill="1" applyBorder="1" applyAlignment="1" applyProtection="1">
      <alignment horizontal="center" vertical="center"/>
    </xf>
    <xf numFmtId="7" fontId="9" fillId="0" borderId="13" xfId="1" applyNumberFormat="1" applyFont="1" applyFill="1" applyBorder="1" applyAlignment="1" applyProtection="1">
      <alignment horizontal="center" vertical="center"/>
    </xf>
    <xf numFmtId="39" fontId="5" fillId="8" borderId="0" xfId="1" applyNumberFormat="1" applyFont="1" applyFill="1" applyBorder="1" applyAlignment="1" applyProtection="1">
      <alignment horizontal="center" vertical="center"/>
      <protection hidden="1"/>
    </xf>
    <xf numFmtId="7" fontId="9" fillId="8" borderId="0" xfId="1" applyNumberFormat="1" applyFont="1" applyFill="1" applyBorder="1" applyAlignment="1" applyProtection="1">
      <alignment horizontal="center" vertical="center"/>
      <protection hidden="1"/>
    </xf>
    <xf numFmtId="39" fontId="5" fillId="0" borderId="0" xfId="0" applyNumberFormat="1" applyFont="1" applyAlignment="1" applyProtection="1">
      <alignment horizontal="center" vertical="center"/>
      <protection hidden="1"/>
    </xf>
    <xf numFmtId="0" fontId="8" fillId="0" borderId="0" xfId="0" applyFont="1" applyAlignment="1">
      <alignment horizontal="left"/>
    </xf>
    <xf numFmtId="0" fontId="13" fillId="2" borderId="0" xfId="0" applyFont="1" applyFill="1" applyAlignment="1">
      <alignment horizontal="left"/>
    </xf>
    <xf numFmtId="0" fontId="18" fillId="0" borderId="0" xfId="0" applyFont="1" applyAlignment="1">
      <alignment vertical="top" wrapText="1"/>
    </xf>
    <xf numFmtId="164" fontId="5" fillId="0" borderId="0" xfId="0" applyNumberFormat="1" applyFont="1" applyAlignment="1">
      <alignment horizontal="center"/>
    </xf>
    <xf numFmtId="0" fontId="0" fillId="7" borderId="0" xfId="0" applyFill="1"/>
    <xf numFmtId="0" fontId="7"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protection locked="0"/>
    </xf>
    <xf numFmtId="164" fontId="10" fillId="0" borderId="0" xfId="0" applyNumberFormat="1" applyFont="1" applyAlignment="1">
      <alignment horizontal="right"/>
    </xf>
    <xf numFmtId="0" fontId="6" fillId="0" borderId="0" xfId="0" applyFont="1"/>
    <xf numFmtId="0" fontId="25" fillId="0" borderId="0" xfId="0" applyFont="1"/>
    <xf numFmtId="164" fontId="5" fillId="0" borderId="0" xfId="0" applyNumberFormat="1" applyFont="1" applyAlignment="1" applyProtection="1">
      <alignment horizontal="center" vertical="center" wrapText="1"/>
      <protection hidden="1"/>
    </xf>
    <xf numFmtId="2" fontId="0" fillId="0" borderId="0" xfId="0" applyNumberFormat="1"/>
    <xf numFmtId="164" fontId="10" fillId="8" borderId="0" xfId="1" applyNumberFormat="1" applyFont="1" applyFill="1" applyBorder="1" applyAlignment="1" applyProtection="1">
      <alignment horizontal="center" vertical="center" wrapText="1"/>
      <protection hidden="1"/>
    </xf>
    <xf numFmtId="0" fontId="21" fillId="8" borderId="0" xfId="0" applyFont="1" applyFill="1" applyAlignment="1">
      <alignment vertical="center"/>
    </xf>
    <xf numFmtId="7" fontId="5" fillId="0" borderId="0" xfId="0" applyNumberFormat="1" applyFont="1" applyAlignment="1">
      <alignment vertical="center"/>
    </xf>
    <xf numFmtId="0" fontId="5" fillId="9" borderId="12" xfId="0" applyFont="1" applyFill="1" applyBorder="1" applyAlignment="1">
      <alignment horizontal="center" vertical="center" wrapText="1"/>
    </xf>
    <xf numFmtId="0" fontId="5" fillId="9" borderId="21" xfId="0" applyFont="1" applyFill="1" applyBorder="1" applyAlignment="1">
      <alignment vertical="center"/>
    </xf>
    <xf numFmtId="0" fontId="5" fillId="9" borderId="22" xfId="0" applyFont="1" applyFill="1" applyBorder="1" applyAlignment="1">
      <alignment vertical="center"/>
    </xf>
    <xf numFmtId="1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164" fontId="5" fillId="0" borderId="0" xfId="1" applyNumberFormat="1" applyFont="1" applyBorder="1" applyAlignment="1" applyProtection="1">
      <alignment horizontal="center" vertical="center"/>
      <protection hidden="1"/>
    </xf>
    <xf numFmtId="164" fontId="5" fillId="0" borderId="0" xfId="0" applyNumberFormat="1" applyFont="1" applyAlignment="1" applyProtection="1">
      <alignment horizontal="center"/>
      <protection hidden="1"/>
    </xf>
    <xf numFmtId="164" fontId="9" fillId="5" borderId="2" xfId="1" applyNumberFormat="1" applyFont="1" applyFill="1" applyBorder="1" applyAlignment="1" applyProtection="1">
      <alignment horizontal="center" vertical="center"/>
      <protection locked="0"/>
    </xf>
    <xf numFmtId="164" fontId="9" fillId="5" borderId="1" xfId="1" applyNumberFormat="1" applyFont="1" applyFill="1" applyBorder="1" applyAlignment="1" applyProtection="1">
      <alignment horizontal="center" vertical="center"/>
      <protection locked="0"/>
    </xf>
    <xf numFmtId="164" fontId="5" fillId="5" borderId="45" xfId="0" applyNumberFormat="1" applyFont="1" applyFill="1" applyBorder="1" applyAlignment="1" applyProtection="1">
      <alignment horizontal="right"/>
      <protection locked="0"/>
    </xf>
    <xf numFmtId="0" fontId="5" fillId="0" borderId="0" xfId="0" applyFont="1" applyAlignment="1" applyProtection="1">
      <alignment horizontal="center" vertical="center"/>
      <protection hidden="1"/>
    </xf>
    <xf numFmtId="0" fontId="5" fillId="9" borderId="43" xfId="0" applyFont="1" applyFill="1" applyBorder="1" applyAlignment="1">
      <alignment horizontal="center" vertical="center" wrapText="1"/>
    </xf>
    <xf numFmtId="164" fontId="5" fillId="0" borderId="44" xfId="0" applyNumberFormat="1" applyFont="1" applyBorder="1" applyAlignment="1" applyProtection="1">
      <alignment horizontal="center" vertical="center" wrapText="1"/>
      <protection hidden="1"/>
    </xf>
    <xf numFmtId="164" fontId="5" fillId="0" borderId="44" xfId="1" applyNumberFormat="1" applyFont="1" applyBorder="1" applyAlignment="1" applyProtection="1">
      <alignment horizontal="center" vertical="center"/>
      <protection hidden="1"/>
    </xf>
    <xf numFmtId="164" fontId="9" fillId="5" borderId="13" xfId="1" applyNumberFormat="1" applyFont="1" applyFill="1" applyBorder="1" applyAlignment="1" applyProtection="1">
      <alignment horizontal="center" vertical="center"/>
      <protection locked="0"/>
    </xf>
    <xf numFmtId="164" fontId="5" fillId="0" borderId="45" xfId="1" applyNumberFormat="1" applyFont="1" applyBorder="1" applyAlignment="1" applyProtection="1">
      <alignment horizontal="center" vertical="center"/>
      <protection hidden="1"/>
    </xf>
    <xf numFmtId="164" fontId="9" fillId="5" borderId="20" xfId="1" applyNumberFormat="1" applyFont="1" applyFill="1" applyBorder="1" applyAlignment="1" applyProtection="1">
      <alignment horizontal="center" vertical="center"/>
      <protection locked="0"/>
    </xf>
    <xf numFmtId="164" fontId="9" fillId="0" borderId="0" xfId="0" applyNumberFormat="1" applyFont="1" applyAlignment="1" applyProtection="1">
      <alignment horizontal="center"/>
      <protection hidden="1"/>
    </xf>
    <xf numFmtId="164" fontId="9" fillId="0" borderId="0" xfId="0" applyNumberFormat="1" applyFont="1" applyAlignment="1" applyProtection="1">
      <alignment horizontal="center" vertical="center"/>
      <protection hidden="1"/>
    </xf>
    <xf numFmtId="164" fontId="5" fillId="0" borderId="45" xfId="0" applyNumberFormat="1" applyFont="1" applyBorder="1" applyAlignment="1" applyProtection="1">
      <alignment horizontal="center" vertical="center" wrapText="1"/>
      <protection hidden="1"/>
    </xf>
    <xf numFmtId="0" fontId="5" fillId="0" borderId="0" xfId="0" applyFont="1" applyProtection="1">
      <protection hidden="1"/>
    </xf>
    <xf numFmtId="0" fontId="18" fillId="0" borderId="1" xfId="0" applyFont="1" applyBorder="1" applyAlignment="1" applyProtection="1">
      <alignment vertical="center"/>
      <protection hidden="1"/>
    </xf>
    <xf numFmtId="0" fontId="9" fillId="0" borderId="0" xfId="0" applyFont="1" applyAlignment="1" applyProtection="1">
      <alignment vertical="center"/>
      <protection hidden="1"/>
    </xf>
    <xf numFmtId="0" fontId="9" fillId="4" borderId="0" xfId="0" applyFont="1" applyFill="1" applyAlignment="1" applyProtection="1">
      <alignment horizontal="left" vertical="center"/>
      <protection hidden="1"/>
    </xf>
    <xf numFmtId="44" fontId="18" fillId="3" borderId="1" xfId="1" applyFont="1" applyFill="1" applyBorder="1" applyAlignment="1" applyProtection="1">
      <alignment vertical="center" wrapText="1" shrinkToFit="1"/>
      <protection hidden="1"/>
    </xf>
    <xf numFmtId="44" fontId="18" fillId="5" borderId="1" xfId="1" applyFont="1" applyFill="1" applyBorder="1" applyAlignment="1" applyProtection="1">
      <alignment vertical="center" wrapText="1" shrinkToFit="1"/>
      <protection hidden="1"/>
    </xf>
    <xf numFmtId="0" fontId="18" fillId="7" borderId="1" xfId="0" applyFont="1" applyFill="1" applyBorder="1" applyAlignment="1" applyProtection="1">
      <alignment vertical="top" wrapText="1"/>
      <protection hidden="1"/>
    </xf>
    <xf numFmtId="0" fontId="5" fillId="0" borderId="31" xfId="0" applyFont="1" applyBorder="1" applyProtection="1">
      <protection hidden="1"/>
    </xf>
    <xf numFmtId="0" fontId="5" fillId="9" borderId="52" xfId="0" applyFont="1" applyFill="1" applyBorder="1" applyAlignment="1" applyProtection="1">
      <alignment horizontal="center" vertical="center" wrapText="1"/>
      <protection hidden="1"/>
    </xf>
    <xf numFmtId="0" fontId="9" fillId="0" borderId="34" xfId="0" applyFont="1" applyBorder="1" applyAlignment="1" applyProtection="1">
      <alignment vertical="top" wrapText="1"/>
      <protection hidden="1"/>
    </xf>
    <xf numFmtId="0" fontId="9" fillId="0" borderId="35" xfId="0" applyFont="1" applyBorder="1" applyAlignment="1" applyProtection="1">
      <alignment vertical="top" wrapText="1"/>
      <protection hidden="1"/>
    </xf>
    <xf numFmtId="0" fontId="9" fillId="0" borderId="51" xfId="0" applyFont="1" applyBorder="1" applyAlignment="1" applyProtection="1">
      <alignment vertical="top" wrapText="1"/>
      <protection hidden="1"/>
    </xf>
    <xf numFmtId="164" fontId="9" fillId="0" borderId="45" xfId="0" applyNumberFormat="1" applyFont="1" applyBorder="1" applyAlignment="1" applyProtection="1">
      <alignment vertical="top"/>
      <protection hidden="1"/>
    </xf>
    <xf numFmtId="0" fontId="5" fillId="0" borderId="0" xfId="0" applyFont="1" applyAlignment="1" applyProtection="1">
      <alignment horizontal="left" vertical="top" wrapText="1"/>
      <protection hidden="1"/>
    </xf>
    <xf numFmtId="164" fontId="10" fillId="0" borderId="0" xfId="0" applyNumberFormat="1" applyFont="1" applyAlignment="1" applyProtection="1">
      <alignment horizontal="right" vertical="top"/>
      <protection hidden="1"/>
    </xf>
    <xf numFmtId="0" fontId="5" fillId="9" borderId="19" xfId="0" applyFont="1" applyFill="1" applyBorder="1" applyAlignment="1" applyProtection="1">
      <alignment vertical="center" wrapText="1"/>
      <protection hidden="1"/>
    </xf>
    <xf numFmtId="0" fontId="5" fillId="9" borderId="12" xfId="0" applyFont="1" applyFill="1" applyBorder="1" applyAlignment="1" applyProtection="1">
      <alignment horizontal="center" vertical="center" wrapText="1"/>
      <protection hidden="1"/>
    </xf>
    <xf numFmtId="0" fontId="5" fillId="9" borderId="19" xfId="0" applyFont="1" applyFill="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0" borderId="20" xfId="0" applyFont="1" applyBorder="1" applyAlignment="1" applyProtection="1">
      <alignment vertical="center" wrapText="1"/>
      <protection hidden="1"/>
    </xf>
    <xf numFmtId="0" fontId="5" fillId="0" borderId="0" xfId="0" applyFont="1" applyAlignment="1" applyProtection="1">
      <alignment vertical="top" wrapText="1"/>
      <protection hidden="1"/>
    </xf>
    <xf numFmtId="0" fontId="5" fillId="0" borderId="0" xfId="0" applyFont="1" applyAlignment="1" applyProtection="1">
      <alignment vertical="center" wrapText="1"/>
      <protection hidden="1"/>
    </xf>
    <xf numFmtId="0" fontId="20" fillId="0" borderId="0" xfId="0" applyFont="1" applyAlignment="1" applyProtection="1">
      <alignment horizontal="left" vertical="center"/>
      <protection hidden="1"/>
    </xf>
    <xf numFmtId="0" fontId="20" fillId="0" borderId="0" xfId="0" applyFont="1" applyAlignment="1" applyProtection="1">
      <alignment vertical="center"/>
      <protection hidden="1"/>
    </xf>
    <xf numFmtId="0" fontId="5" fillId="9" borderId="52" xfId="0" applyFont="1" applyFill="1" applyBorder="1" applyAlignment="1" applyProtection="1">
      <alignment vertical="top"/>
      <protection hidden="1"/>
    </xf>
    <xf numFmtId="0" fontId="5" fillId="0" borderId="34" xfId="0" applyFont="1" applyBorder="1" applyProtection="1">
      <protection hidden="1"/>
    </xf>
    <xf numFmtId="0" fontId="5" fillId="0" borderId="34" xfId="0" applyFont="1" applyBorder="1" applyAlignment="1" applyProtection="1">
      <alignment vertical="top" wrapText="1"/>
      <protection hidden="1"/>
    </xf>
    <xf numFmtId="0" fontId="5" fillId="0" borderId="35" xfId="0" applyFont="1" applyBorder="1" applyAlignment="1" applyProtection="1">
      <alignment vertical="top" wrapText="1"/>
      <protection hidden="1"/>
    </xf>
    <xf numFmtId="0" fontId="5" fillId="0" borderId="22" xfId="0" applyFont="1" applyBorder="1" applyAlignment="1" applyProtection="1">
      <alignment vertical="top"/>
      <protection hidden="1"/>
    </xf>
    <xf numFmtId="164" fontId="9" fillId="0" borderId="45" xfId="0" applyNumberFormat="1" applyFont="1" applyBorder="1" applyAlignment="1" applyProtection="1">
      <alignment horizontal="center" vertical="center" wrapText="1"/>
      <protection hidden="1"/>
    </xf>
    <xf numFmtId="0" fontId="5" fillId="0" borderId="34" xfId="0" applyFont="1" applyBorder="1" applyAlignment="1" applyProtection="1">
      <alignment vertical="top"/>
      <protection hidden="1"/>
    </xf>
    <xf numFmtId="164" fontId="9" fillId="0" borderId="45" xfId="0" applyNumberFormat="1" applyFont="1" applyBorder="1" applyAlignment="1" applyProtection="1">
      <alignment horizontal="center" vertical="top" wrapText="1"/>
      <protection hidden="1"/>
    </xf>
    <xf numFmtId="0" fontId="5" fillId="0" borderId="0" xfId="0" applyFont="1" applyAlignment="1" applyProtection="1">
      <alignment vertical="center"/>
      <protection hidden="1"/>
    </xf>
    <xf numFmtId="0" fontId="9" fillId="0" borderId="34" xfId="0" applyFont="1" applyBorder="1" applyProtection="1">
      <protection hidden="1"/>
    </xf>
    <xf numFmtId="0" fontId="9" fillId="0" borderId="35" xfId="0" applyFont="1" applyBorder="1" applyAlignment="1" applyProtection="1">
      <alignment horizontal="left" vertical="top" wrapText="1"/>
      <protection hidden="1"/>
    </xf>
    <xf numFmtId="0" fontId="9" fillId="0" borderId="22" xfId="0" applyFont="1" applyBorder="1" applyAlignment="1" applyProtection="1">
      <alignment vertical="top"/>
      <protection hidden="1"/>
    </xf>
    <xf numFmtId="0" fontId="5" fillId="0" borderId="0" xfId="0" applyFont="1" applyAlignment="1" applyProtection="1">
      <alignment vertical="top"/>
      <protection hidden="1"/>
    </xf>
    <xf numFmtId="164" fontId="10" fillId="0" borderId="0" xfId="0" applyNumberFormat="1" applyFont="1" applyAlignment="1" applyProtection="1">
      <alignment horizontal="right" vertical="top" wrapText="1"/>
      <protection hidden="1"/>
    </xf>
    <xf numFmtId="0" fontId="5" fillId="0" borderId="14" xfId="0" applyFont="1" applyBorder="1" applyProtection="1">
      <protection hidden="1"/>
    </xf>
    <xf numFmtId="0" fontId="5" fillId="0" borderId="14" xfId="0" applyFont="1" applyBorder="1" applyAlignment="1" applyProtection="1">
      <alignment vertical="top" wrapText="1"/>
      <protection hidden="1"/>
    </xf>
    <xf numFmtId="0" fontId="5" fillId="0" borderId="14" xfId="0" applyFont="1" applyBorder="1" applyAlignment="1" applyProtection="1">
      <alignment vertical="top"/>
      <protection hidden="1"/>
    </xf>
    <xf numFmtId="164" fontId="10" fillId="0" borderId="14" xfId="0" applyNumberFormat="1" applyFont="1" applyBorder="1" applyAlignment="1" applyProtection="1">
      <alignment horizontal="right" vertical="top" wrapText="1"/>
      <protection hidden="1"/>
    </xf>
    <xf numFmtId="0" fontId="5" fillId="0" borderId="9" xfId="0" applyFont="1" applyBorder="1" applyProtection="1">
      <protection hidden="1"/>
    </xf>
    <xf numFmtId="0" fontId="8" fillId="0" borderId="0" xfId="0" applyFont="1" applyAlignment="1" applyProtection="1">
      <alignment vertical="center"/>
      <protection hidden="1"/>
    </xf>
    <xf numFmtId="0" fontId="5" fillId="0" borderId="2" xfId="0" applyFont="1" applyBorder="1" applyAlignment="1" applyProtection="1">
      <alignment vertical="center" wrapText="1"/>
      <protection hidden="1"/>
    </xf>
    <xf numFmtId="164" fontId="9" fillId="5" borderId="1" xfId="0" applyNumberFormat="1" applyFont="1" applyFill="1" applyBorder="1" applyAlignment="1" applyProtection="1">
      <alignment horizontal="center" vertical="center" wrapText="1"/>
      <protection locked="0"/>
    </xf>
    <xf numFmtId="0" fontId="8" fillId="0" borderId="33" xfId="0" applyFont="1" applyBorder="1" applyProtection="1">
      <protection hidden="1"/>
    </xf>
    <xf numFmtId="0" fontId="5" fillId="0" borderId="33" xfId="0" applyFont="1" applyBorder="1" applyProtection="1">
      <protection hidden="1"/>
    </xf>
    <xf numFmtId="0" fontId="5" fillId="0" borderId="31" xfId="0" applyFont="1" applyBorder="1" applyAlignment="1" applyProtection="1">
      <alignment horizontal="left" vertical="top"/>
      <protection hidden="1"/>
    </xf>
    <xf numFmtId="0" fontId="5" fillId="0" borderId="0" xfId="0" applyFont="1" applyAlignment="1" applyProtection="1">
      <alignment horizontal="left" vertical="top"/>
      <protection hidden="1"/>
    </xf>
    <xf numFmtId="164" fontId="9" fillId="0" borderId="44"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164" fontId="10" fillId="0" borderId="0" xfId="1" applyNumberFormat="1" applyFont="1" applyFill="1" applyBorder="1" applyAlignment="1" applyProtection="1">
      <alignment horizontal="center" vertical="center"/>
      <protection hidden="1"/>
    </xf>
    <xf numFmtId="0" fontId="5" fillId="0" borderId="41" xfId="0" applyFont="1" applyBorder="1" applyAlignment="1">
      <alignment horizontal="left" vertical="center"/>
    </xf>
    <xf numFmtId="14" fontId="5" fillId="0" borderId="0" xfId="0" applyNumberFormat="1" applyFont="1" applyAlignment="1">
      <alignment horizontal="center" vertical="center"/>
    </xf>
    <xf numFmtId="0" fontId="0" fillId="0" borderId="6" xfId="0" applyBorder="1"/>
    <xf numFmtId="0" fontId="0" fillId="0" borderId="8" xfId="0" applyBorder="1"/>
    <xf numFmtId="0" fontId="0" fillId="0" borderId="9" xfId="0" applyBorder="1"/>
    <xf numFmtId="0" fontId="0" fillId="0" borderId="10" xfId="0" applyBorder="1"/>
    <xf numFmtId="0" fontId="0" fillId="0" borderId="14" xfId="0" applyBorder="1"/>
    <xf numFmtId="0" fontId="0" fillId="0" borderId="11" xfId="0" applyBorder="1"/>
    <xf numFmtId="0" fontId="20" fillId="0" borderId="9" xfId="0" applyFont="1" applyBorder="1" applyAlignment="1" applyProtection="1">
      <alignment vertical="center"/>
      <protection hidden="1"/>
    </xf>
    <xf numFmtId="14" fontId="5" fillId="8" borderId="0" xfId="0" applyNumberFormat="1" applyFont="1" applyFill="1" applyAlignment="1">
      <alignment horizontal="center" vertical="center"/>
    </xf>
    <xf numFmtId="0" fontId="0" fillId="0" borderId="20" xfId="0" applyBorder="1"/>
    <xf numFmtId="0" fontId="0" fillId="0" borderId="27" xfId="0" applyBorder="1"/>
    <xf numFmtId="0" fontId="0" fillId="0" borderId="25" xfId="0" applyBorder="1"/>
    <xf numFmtId="9" fontId="0" fillId="12" borderId="0" xfId="0" applyNumberFormat="1" applyFill="1"/>
    <xf numFmtId="14" fontId="5" fillId="0" borderId="0" xfId="0" applyNumberFormat="1" applyFont="1" applyAlignment="1" applyProtection="1">
      <alignment horizontal="center" vertical="center"/>
      <protection hidden="1"/>
    </xf>
    <xf numFmtId="0" fontId="0" fillId="11" borderId="0" xfId="0" applyFill="1"/>
    <xf numFmtId="164" fontId="10" fillId="0" borderId="0" xfId="0" applyNumberFormat="1" applyFont="1" applyAlignment="1" applyProtection="1">
      <alignment horizontal="center"/>
      <protection hidden="1"/>
    </xf>
    <xf numFmtId="0" fontId="5" fillId="0" borderId="41" xfId="0" applyFont="1" applyBorder="1" applyAlignment="1">
      <alignment horizontal="center" vertical="center"/>
    </xf>
    <xf numFmtId="0" fontId="27" fillId="0" borderId="31" xfId="0" applyFont="1" applyBorder="1" applyAlignment="1">
      <alignment vertical="center" wrapText="1"/>
    </xf>
    <xf numFmtId="0" fontId="29" fillId="0" borderId="0" xfId="0" applyFont="1" applyAlignment="1">
      <alignment vertical="top"/>
    </xf>
    <xf numFmtId="0" fontId="5" fillId="13" borderId="14" xfId="0" applyFont="1" applyFill="1" applyBorder="1"/>
    <xf numFmtId="0" fontId="5" fillId="13" borderId="11" xfId="0" applyFont="1" applyFill="1" applyBorder="1"/>
    <xf numFmtId="44" fontId="18" fillId="13" borderId="1" xfId="1" applyFont="1" applyFill="1" applyBorder="1" applyAlignment="1" applyProtection="1">
      <alignment vertical="center" wrapText="1" shrinkToFit="1"/>
    </xf>
    <xf numFmtId="44" fontId="18" fillId="13" borderId="1" xfId="1" applyFont="1" applyFill="1" applyBorder="1" applyAlignment="1" applyProtection="1">
      <alignment vertical="center" wrapText="1" shrinkToFit="1"/>
      <protection hidden="1"/>
    </xf>
    <xf numFmtId="164" fontId="9" fillId="0" borderId="0" xfId="0" applyNumberFormat="1" applyFont="1" applyAlignment="1" applyProtection="1">
      <alignment horizontal="center" vertical="center" wrapText="1"/>
      <protection hidden="1"/>
    </xf>
    <xf numFmtId="164" fontId="9" fillId="0" borderId="0" xfId="0" applyNumberFormat="1" applyFont="1" applyAlignment="1" applyProtection="1">
      <alignment horizontal="center" vertical="top" wrapText="1"/>
      <protection hidden="1"/>
    </xf>
    <xf numFmtId="164" fontId="5" fillId="8" borderId="0" xfId="1" applyNumberFormat="1" applyFont="1" applyFill="1" applyBorder="1" applyAlignment="1" applyProtection="1">
      <alignment horizontal="center" vertical="center"/>
      <protection hidden="1"/>
    </xf>
    <xf numFmtId="164" fontId="9" fillId="8" borderId="0" xfId="1" applyNumberFormat="1" applyFont="1" applyFill="1" applyBorder="1" applyAlignment="1" applyProtection="1">
      <alignment horizontal="center" vertical="center"/>
      <protection hidden="1"/>
    </xf>
    <xf numFmtId="164" fontId="5" fillId="0" borderId="1" xfId="0" applyNumberFormat="1" applyFont="1" applyBorder="1" applyAlignment="1" applyProtection="1">
      <alignment vertical="center"/>
      <protection hidden="1"/>
    </xf>
    <xf numFmtId="0" fontId="22" fillId="0" borderId="0" xfId="0" applyFont="1" applyProtection="1">
      <protection hidden="1"/>
    </xf>
    <xf numFmtId="0" fontId="18" fillId="0" borderId="0" xfId="0" applyFont="1" applyAlignment="1" applyProtection="1">
      <alignment vertical="top" wrapText="1"/>
      <protection hidden="1"/>
    </xf>
    <xf numFmtId="0" fontId="9" fillId="0" borderId="34" xfId="0" applyFont="1" applyBorder="1" applyAlignment="1" applyProtection="1">
      <alignment horizontal="left" vertical="top" wrapText="1"/>
      <protection hidden="1"/>
    </xf>
    <xf numFmtId="0" fontId="5" fillId="9" borderId="28" xfId="0" applyFont="1" applyFill="1" applyBorder="1" applyAlignment="1" applyProtection="1">
      <alignment horizontal="left" vertical="center"/>
      <protection hidden="1"/>
    </xf>
    <xf numFmtId="0" fontId="9" fillId="0" borderId="58" xfId="0" applyFont="1" applyBorder="1" applyAlignment="1" applyProtection="1">
      <alignment vertical="top"/>
      <protection hidden="1"/>
    </xf>
    <xf numFmtId="0" fontId="31" fillId="0" borderId="0" xfId="0" applyFont="1"/>
    <xf numFmtId="0" fontId="2" fillId="0" borderId="0" xfId="0" applyFont="1"/>
    <xf numFmtId="0" fontId="32" fillId="12" borderId="0" xfId="0" applyFont="1" applyFill="1"/>
    <xf numFmtId="0" fontId="9" fillId="0" borderId="0" xfId="0" applyFont="1" applyProtection="1">
      <protection hidden="1"/>
    </xf>
    <xf numFmtId="0" fontId="9" fillId="0" borderId="0" xfId="0" applyFont="1" applyAlignment="1" applyProtection="1">
      <alignment horizontal="left" vertical="top" wrapText="1"/>
      <protection hidden="1"/>
    </xf>
    <xf numFmtId="0" fontId="9" fillId="0" borderId="0" xfId="0" applyFont="1" applyAlignment="1" applyProtection="1">
      <alignment vertical="top"/>
      <protection hidden="1"/>
    </xf>
    <xf numFmtId="0" fontId="1" fillId="0" borderId="0" xfId="0" applyFont="1"/>
    <xf numFmtId="14" fontId="5" fillId="0" borderId="0" xfId="0" applyNumberFormat="1" applyFont="1" applyAlignment="1">
      <alignment vertical="center"/>
    </xf>
    <xf numFmtId="0" fontId="33" fillId="0" borderId="0" xfId="0" applyFont="1" applyAlignment="1">
      <alignment vertical="center" wrapText="1"/>
    </xf>
    <xf numFmtId="0" fontId="33" fillId="0" borderId="57" xfId="0" applyFont="1" applyBorder="1" applyAlignment="1">
      <alignment vertical="center" wrapText="1"/>
    </xf>
    <xf numFmtId="0" fontId="33" fillId="0" borderId="57" xfId="0" applyFont="1" applyBorder="1" applyAlignment="1">
      <alignment vertical="center"/>
    </xf>
    <xf numFmtId="0" fontId="33" fillId="0" borderId="0" xfId="0" applyFont="1" applyAlignment="1">
      <alignment vertical="center"/>
    </xf>
    <xf numFmtId="164" fontId="9" fillId="0" borderId="0" xfId="1" applyNumberFormat="1" applyFont="1" applyFill="1" applyBorder="1" applyAlignment="1" applyProtection="1">
      <alignment horizontal="center" vertical="center"/>
      <protection hidden="1"/>
    </xf>
    <xf numFmtId="0" fontId="11" fillId="0" borderId="0" xfId="0" applyFont="1" applyAlignment="1">
      <alignment vertical="center"/>
    </xf>
    <xf numFmtId="0" fontId="5" fillId="0" borderId="20" xfId="0" applyFont="1" applyBorder="1" applyAlignment="1" applyProtection="1">
      <alignment horizontal="left" vertical="center" wrapText="1"/>
      <protection hidden="1"/>
    </xf>
    <xf numFmtId="164" fontId="5" fillId="5" borderId="44" xfId="0" applyNumberFormat="1" applyFont="1" applyFill="1" applyBorder="1" applyAlignment="1" applyProtection="1">
      <alignment horizontal="right"/>
      <protection locked="0"/>
    </xf>
    <xf numFmtId="0" fontId="0" fillId="0" borderId="59" xfId="0" applyBorder="1"/>
    <xf numFmtId="0" fontId="0" fillId="12" borderId="60" xfId="0" applyFill="1" applyBorder="1"/>
    <xf numFmtId="0" fontId="9" fillId="0" borderId="1" xfId="0" applyFont="1" applyBorder="1" applyAlignment="1">
      <alignment horizontal="center" vertical="center"/>
    </xf>
    <xf numFmtId="0" fontId="9" fillId="0" borderId="13" xfId="0" applyFont="1" applyBorder="1" applyAlignment="1">
      <alignment horizontal="center" vertical="center"/>
    </xf>
    <xf numFmtId="6" fontId="0" fillId="0" borderId="0" xfId="0" applyNumberFormat="1"/>
    <xf numFmtId="0" fontId="5" fillId="0" borderId="31" xfId="0" applyFont="1" applyBorder="1" applyAlignment="1" applyProtection="1">
      <alignment vertical="top" wrapText="1"/>
      <protection hidden="1"/>
    </xf>
    <xf numFmtId="0" fontId="5" fillId="0" borderId="58" xfId="0" applyFont="1" applyBorder="1" applyAlignment="1" applyProtection="1">
      <alignment vertical="top"/>
      <protection hidden="1"/>
    </xf>
    <xf numFmtId="0" fontId="5" fillId="9" borderId="24" xfId="0" applyFont="1" applyFill="1" applyBorder="1" applyAlignment="1" applyProtection="1">
      <alignment horizontal="center" vertical="center" wrapText="1"/>
      <protection hidden="1"/>
    </xf>
    <xf numFmtId="164" fontId="9" fillId="8" borderId="44" xfId="0" applyNumberFormat="1" applyFont="1" applyFill="1" applyBorder="1" applyAlignment="1">
      <alignment horizontal="center" vertical="center" wrapText="1"/>
    </xf>
    <xf numFmtId="0" fontId="5" fillId="7" borderId="39" xfId="0" applyFont="1" applyFill="1" applyBorder="1" applyAlignment="1">
      <alignment vertical="center" wrapText="1"/>
    </xf>
    <xf numFmtId="0" fontId="5" fillId="7" borderId="40" xfId="0" applyFont="1" applyFill="1" applyBorder="1" applyAlignment="1">
      <alignment vertical="center" wrapText="1"/>
    </xf>
    <xf numFmtId="164" fontId="5" fillId="5" borderId="2" xfId="0" applyNumberFormat="1" applyFont="1" applyFill="1" applyBorder="1" applyAlignment="1" applyProtection="1">
      <alignment vertical="center" wrapText="1"/>
      <protection locked="0"/>
    </xf>
    <xf numFmtId="164" fontId="9" fillId="5" borderId="5" xfId="0" applyNumberFormat="1" applyFont="1" applyFill="1" applyBorder="1" applyAlignment="1" applyProtection="1">
      <alignment horizontal="center" vertical="center" wrapText="1"/>
      <protection locked="0"/>
    </xf>
    <xf numFmtId="165" fontId="9" fillId="5" borderId="1" xfId="0" applyNumberFormat="1" applyFont="1" applyFill="1" applyBorder="1" applyAlignment="1" applyProtection="1">
      <alignment horizontal="center" vertical="center" wrapText="1"/>
      <protection locked="0"/>
    </xf>
    <xf numFmtId="164" fontId="9" fillId="0" borderId="44" xfId="0" applyNumberFormat="1" applyFont="1" applyBorder="1" applyAlignment="1">
      <alignment horizontal="center" vertical="center" wrapText="1"/>
    </xf>
    <xf numFmtId="0" fontId="34" fillId="0" borderId="0" xfId="0" applyFont="1"/>
    <xf numFmtId="0" fontId="5" fillId="7" borderId="0" xfId="0" applyFont="1" applyFill="1" applyProtection="1">
      <protection hidden="1"/>
    </xf>
    <xf numFmtId="14" fontId="5" fillId="0" borderId="0" xfId="0" applyNumberFormat="1" applyFont="1" applyAlignment="1">
      <alignment horizontal="center"/>
    </xf>
    <xf numFmtId="0" fontId="32" fillId="0" borderId="0" xfId="0" applyFont="1"/>
    <xf numFmtId="0" fontId="0" fillId="0" borderId="0" xfId="0" applyAlignment="1">
      <alignment horizontal="right"/>
    </xf>
    <xf numFmtId="0" fontId="0" fillId="0" borderId="62" xfId="0" applyBorder="1"/>
    <xf numFmtId="0" fontId="0" fillId="0" borderId="3" xfId="0" applyBorder="1"/>
    <xf numFmtId="165" fontId="9" fillId="0" borderId="0" xfId="0" applyNumberFormat="1" applyFont="1" applyProtection="1">
      <protection hidden="1"/>
    </xf>
    <xf numFmtId="164" fontId="9" fillId="5" borderId="13" xfId="0" applyNumberFormat="1" applyFont="1" applyFill="1" applyBorder="1" applyAlignment="1" applyProtection="1">
      <alignment horizontal="center" vertical="center" wrapText="1"/>
      <protection locked="0"/>
    </xf>
    <xf numFmtId="0" fontId="5" fillId="9" borderId="46" xfId="0" applyFont="1" applyFill="1" applyBorder="1" applyAlignment="1" applyProtection="1">
      <alignment vertical="center" wrapText="1"/>
      <protection hidden="1"/>
    </xf>
    <xf numFmtId="0" fontId="5" fillId="8" borderId="0" xfId="0" applyFont="1" applyFill="1" applyAlignment="1" applyProtection="1">
      <alignment vertical="center" wrapText="1"/>
      <protection hidden="1"/>
    </xf>
    <xf numFmtId="0" fontId="5" fillId="8" borderId="0" xfId="0" applyFont="1" applyFill="1" applyAlignment="1" applyProtection="1">
      <alignment horizontal="left" vertical="center" wrapText="1"/>
      <protection hidden="1"/>
    </xf>
    <xf numFmtId="0" fontId="5" fillId="8" borderId="0" xfId="0" applyFont="1" applyFill="1" applyAlignment="1" applyProtection="1">
      <alignment horizontal="left" vertical="center"/>
      <protection hidden="1"/>
    </xf>
    <xf numFmtId="0" fontId="5" fillId="9" borderId="12" xfId="0" applyFont="1" applyFill="1" applyBorder="1" applyAlignment="1" applyProtection="1">
      <alignment horizontal="left" vertical="center" wrapText="1"/>
      <protection hidden="1"/>
    </xf>
    <xf numFmtId="165" fontId="9" fillId="5" borderId="22" xfId="0" applyNumberFormat="1" applyFont="1" applyFill="1" applyBorder="1" applyAlignment="1" applyProtection="1">
      <alignment horizontal="center" vertical="center" wrapText="1"/>
      <protection locked="0"/>
    </xf>
    <xf numFmtId="0" fontId="32" fillId="12" borderId="9" xfId="0" applyFont="1" applyFill="1" applyBorder="1"/>
    <xf numFmtId="0" fontId="0" fillId="12" borderId="0" xfId="0" applyFill="1"/>
    <xf numFmtId="0" fontId="29" fillId="0" borderId="0" xfId="0" applyFont="1"/>
    <xf numFmtId="0" fontId="9" fillId="5" borderId="2" xfId="0" applyFont="1" applyFill="1" applyBorder="1" applyAlignment="1" applyProtection="1">
      <alignment horizontal="center" vertical="center" wrapText="1"/>
      <protection locked="0"/>
    </xf>
    <xf numFmtId="164" fontId="9" fillId="0" borderId="28" xfId="0" applyNumberFormat="1" applyFont="1" applyBorder="1" applyAlignment="1">
      <alignment horizontal="center" vertical="center" wrapText="1"/>
    </xf>
    <xf numFmtId="0" fontId="19" fillId="0" borderId="0" xfId="0" applyFont="1" applyAlignment="1">
      <alignment horizontal="left" vertical="top" wrapText="1"/>
    </xf>
    <xf numFmtId="0" fontId="9" fillId="0" borderId="0" xfId="0" applyFont="1" applyAlignment="1" applyProtection="1">
      <alignment horizontal="left" vertical="center"/>
      <protection hidden="1"/>
    </xf>
    <xf numFmtId="0" fontId="20" fillId="0" borderId="0" xfId="0" applyFont="1" applyAlignment="1">
      <alignment vertical="center"/>
    </xf>
    <xf numFmtId="0" fontId="8"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top" wrapText="1"/>
    </xf>
    <xf numFmtId="164" fontId="5" fillId="0" borderId="0" xfId="0" applyNumberFormat="1" applyFont="1" applyAlignment="1">
      <alignment horizontal="center" vertical="center" wrapText="1"/>
    </xf>
    <xf numFmtId="0" fontId="7" fillId="0" borderId="0" xfId="0" applyFont="1"/>
    <xf numFmtId="0" fontId="7" fillId="0" borderId="34" xfId="0" applyFont="1" applyBorder="1" applyAlignment="1">
      <alignment horizontal="center" vertical="center" wrapText="1"/>
    </xf>
    <xf numFmtId="0" fontId="7" fillId="0" borderId="34" xfId="0" applyFont="1" applyBorder="1" applyAlignment="1">
      <alignment horizontal="center" vertical="center"/>
    </xf>
    <xf numFmtId="0" fontId="5" fillId="0" borderId="34" xfId="0" applyFont="1" applyBorder="1" applyAlignment="1">
      <alignment horizontal="center" vertical="center"/>
    </xf>
    <xf numFmtId="164" fontId="5" fillId="0" borderId="34" xfId="0" applyNumberFormat="1" applyFont="1" applyBorder="1" applyAlignment="1">
      <alignment horizontal="center" vertical="center"/>
    </xf>
    <xf numFmtId="164" fontId="5" fillId="0" borderId="0" xfId="0" applyNumberFormat="1" applyFont="1" applyAlignment="1">
      <alignment horizontal="center" vertical="center"/>
    </xf>
    <xf numFmtId="0" fontId="7" fillId="0" borderId="40" xfId="0" applyFont="1" applyBorder="1" applyAlignment="1">
      <alignment horizontal="center" vertical="center" wrapText="1"/>
    </xf>
    <xf numFmtId="0" fontId="7" fillId="0" borderId="33" xfId="0" applyFont="1" applyBorder="1" applyAlignment="1">
      <alignment horizontal="center" vertical="center" wrapText="1"/>
    </xf>
    <xf numFmtId="164" fontId="5" fillId="0" borderId="33" xfId="0"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32" fillId="0" borderId="0" xfId="0" applyFont="1" applyAlignment="1">
      <alignment horizontal="center" wrapText="1"/>
    </xf>
    <xf numFmtId="165" fontId="9" fillId="5" borderId="13" xfId="0" applyNumberFormat="1" applyFont="1" applyFill="1" applyBorder="1" applyAlignment="1" applyProtection="1">
      <alignment horizontal="center" vertical="center" wrapText="1"/>
      <protection locked="0"/>
    </xf>
    <xf numFmtId="0" fontId="9" fillId="5" borderId="56" xfId="0" applyFont="1" applyFill="1" applyBorder="1" applyAlignment="1" applyProtection="1">
      <alignment vertical="center"/>
      <protection hidden="1"/>
    </xf>
    <xf numFmtId="2" fontId="9" fillId="5" borderId="1" xfId="0" applyNumberFormat="1" applyFont="1" applyFill="1" applyBorder="1" applyAlignment="1" applyProtection="1">
      <alignment horizontal="center" vertical="center" wrapText="1"/>
      <protection locked="0"/>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5" fillId="0" borderId="0" xfId="0" applyFont="1" applyAlignment="1">
      <alignment horizontal="left"/>
    </xf>
    <xf numFmtId="0" fontId="5" fillId="9" borderId="52" xfId="0" applyFont="1" applyFill="1" applyBorder="1" applyAlignment="1" applyProtection="1">
      <alignment vertical="center"/>
      <protection hidden="1"/>
    </xf>
    <xf numFmtId="0" fontId="0" fillId="12" borderId="61" xfId="0" applyFill="1" applyBorder="1"/>
    <xf numFmtId="0" fontId="15" fillId="0" borderId="0" xfId="0" applyFont="1" applyAlignment="1">
      <alignment horizontal="left" vertical="center"/>
    </xf>
    <xf numFmtId="0" fontId="27" fillId="0" borderId="0" xfId="0" applyFont="1" applyAlignment="1">
      <alignment vertical="center" wrapText="1"/>
    </xf>
    <xf numFmtId="0" fontId="5" fillId="9" borderId="57" xfId="0" applyFont="1" applyFill="1" applyBorder="1" applyAlignment="1">
      <alignment vertical="center" wrapText="1"/>
    </xf>
    <xf numFmtId="3" fontId="0" fillId="12" borderId="63" xfId="0" applyNumberFormat="1" applyFill="1" applyBorder="1"/>
    <xf numFmtId="0" fontId="0" fillId="0" borderId="43" xfId="0" applyBorder="1"/>
    <xf numFmtId="3" fontId="0" fillId="12" borderId="21" xfId="0" applyNumberFormat="1" applyFill="1" applyBorder="1"/>
    <xf numFmtId="0" fontId="0" fillId="0" borderId="44" xfId="0" applyBorder="1"/>
    <xf numFmtId="3" fontId="0" fillId="12" borderId="22" xfId="0" applyNumberFormat="1" applyFill="1" applyBorder="1"/>
    <xf numFmtId="0" fontId="0" fillId="0" borderId="45" xfId="0" applyBorder="1"/>
    <xf numFmtId="14" fontId="32" fillId="0" borderId="0" xfId="0" applyNumberFormat="1" applyFont="1"/>
    <xf numFmtId="164" fontId="0" fillId="12" borderId="1" xfId="0" applyNumberFormat="1" applyFill="1" applyBorder="1"/>
    <xf numFmtId="0" fontId="32" fillId="0" borderId="0" xfId="0" applyFont="1" applyAlignment="1">
      <alignment horizontal="left"/>
    </xf>
    <xf numFmtId="0" fontId="0" fillId="15" borderId="0" xfId="0" applyFill="1"/>
    <xf numFmtId="0" fontId="0" fillId="0" borderId="39" xfId="0" applyBorder="1"/>
    <xf numFmtId="0" fontId="0" fillId="0" borderId="34" xfId="0" applyBorder="1"/>
    <xf numFmtId="0" fontId="0" fillId="0" borderId="35" xfId="0" applyBorder="1"/>
    <xf numFmtId="0" fontId="32" fillId="0" borderId="40" xfId="0" applyFont="1" applyBorder="1"/>
    <xf numFmtId="0" fontId="32" fillId="0" borderId="33" xfId="0" applyFont="1" applyBorder="1"/>
    <xf numFmtId="0" fontId="32" fillId="0" borderId="38" xfId="0" applyFont="1" applyBorder="1"/>
    <xf numFmtId="0" fontId="0" fillId="0" borderId="4" xfId="0" applyBorder="1"/>
    <xf numFmtId="0" fontId="0" fillId="0" borderId="26" xfId="0" applyBorder="1"/>
    <xf numFmtId="0" fontId="0" fillId="0" borderId="30" xfId="0" applyBorder="1"/>
    <xf numFmtId="0" fontId="32" fillId="0" borderId="41" xfId="0" applyFont="1" applyBorder="1"/>
    <xf numFmtId="164" fontId="0" fillId="12" borderId="28" xfId="0" applyNumberFormat="1" applyFill="1" applyBorder="1"/>
    <xf numFmtId="0" fontId="0" fillId="0" borderId="41" xfId="0" applyBorder="1" applyAlignment="1">
      <alignment horizontal="left" indent="2"/>
    </xf>
    <xf numFmtId="0" fontId="0" fillId="16" borderId="0" xfId="0" applyFill="1"/>
    <xf numFmtId="0" fontId="0" fillId="16" borderId="44" xfId="0" applyFill="1" applyBorder="1"/>
    <xf numFmtId="164" fontId="0" fillId="12" borderId="44" xfId="0" applyNumberFormat="1" applyFill="1" applyBorder="1"/>
    <xf numFmtId="0" fontId="40" fillId="0" borderId="0" xfId="0" applyFont="1"/>
    <xf numFmtId="0" fontId="40" fillId="16" borderId="0" xfId="0" applyFont="1" applyFill="1"/>
    <xf numFmtId="0" fontId="0" fillId="0" borderId="41" xfId="0" applyBorder="1"/>
    <xf numFmtId="0" fontId="0" fillId="0" borderId="31" xfId="0" applyBorder="1"/>
    <xf numFmtId="0" fontId="0" fillId="0" borderId="40" xfId="0" applyBorder="1"/>
    <xf numFmtId="0" fontId="0" fillId="0" borderId="33" xfId="0" applyBorder="1"/>
    <xf numFmtId="0" fontId="0" fillId="0" borderId="38" xfId="0" applyBorder="1"/>
    <xf numFmtId="0" fontId="32" fillId="12" borderId="0" xfId="0" applyFont="1" applyFill="1" applyAlignment="1">
      <alignment horizontal="left"/>
    </xf>
    <xf numFmtId="0" fontId="8" fillId="0" borderId="34" xfId="0" applyFont="1" applyBorder="1" applyAlignment="1" applyProtection="1">
      <alignment horizontal="left" vertical="center" wrapText="1"/>
      <protection hidden="1"/>
    </xf>
    <xf numFmtId="164" fontId="8" fillId="0" borderId="34" xfId="0" applyNumberFormat="1" applyFont="1" applyBorder="1" applyAlignment="1" applyProtection="1">
      <alignment horizontal="center" vertical="center"/>
      <protection hidden="1"/>
    </xf>
    <xf numFmtId="0" fontId="8" fillId="0" borderId="33" xfId="0" applyFont="1" applyBorder="1" applyAlignment="1">
      <alignment horizontal="left" vertical="center"/>
    </xf>
    <xf numFmtId="0" fontId="5" fillId="9" borderId="22" xfId="0" applyFont="1" applyFill="1" applyBorder="1" applyAlignment="1">
      <alignment horizontal="left" vertical="center"/>
    </xf>
    <xf numFmtId="0" fontId="5" fillId="9" borderId="51" xfId="0" applyFont="1" applyFill="1" applyBorder="1"/>
    <xf numFmtId="164" fontId="5" fillId="5" borderId="44" xfId="0" applyNumberFormat="1" applyFont="1" applyFill="1" applyBorder="1" applyAlignment="1" applyProtection="1">
      <alignment horizontal="center" vertical="center"/>
      <protection locked="0"/>
    </xf>
    <xf numFmtId="164" fontId="9" fillId="0" borderId="45" xfId="0" applyNumberFormat="1" applyFont="1" applyBorder="1" applyAlignment="1">
      <alignment horizontal="center" vertical="center"/>
    </xf>
    <xf numFmtId="0" fontId="5" fillId="9" borderId="52" xfId="0" applyFont="1" applyFill="1" applyBorder="1" applyAlignment="1">
      <alignment vertical="center"/>
    </xf>
    <xf numFmtId="164" fontId="9" fillId="5" borderId="44" xfId="0" applyNumberFormat="1" applyFont="1" applyFill="1" applyBorder="1" applyAlignment="1" applyProtection="1">
      <alignment horizontal="center" vertical="center"/>
      <protection locked="0"/>
    </xf>
    <xf numFmtId="164" fontId="9" fillId="0" borderId="45" xfId="0" applyNumberFormat="1" applyFont="1" applyBorder="1" applyAlignment="1" applyProtection="1">
      <alignment horizontal="center" vertical="center"/>
      <protection hidden="1"/>
    </xf>
    <xf numFmtId="164" fontId="5" fillId="9" borderId="52" xfId="0" applyNumberFormat="1" applyFont="1" applyFill="1" applyBorder="1" applyAlignment="1">
      <alignment horizontal="left" vertical="center" wrapText="1"/>
    </xf>
    <xf numFmtId="0" fontId="5" fillId="9" borderId="14" xfId="0" applyFont="1" applyFill="1" applyBorder="1" applyAlignment="1">
      <alignment horizontal="left" vertical="center"/>
    </xf>
    <xf numFmtId="0" fontId="5" fillId="9" borderId="11" xfId="0" applyFont="1" applyFill="1" applyBorder="1" applyAlignment="1">
      <alignment horizontal="left" vertical="center"/>
    </xf>
    <xf numFmtId="164" fontId="15" fillId="0" borderId="60" xfId="0" applyNumberFormat="1" applyFont="1" applyBorder="1" applyAlignment="1" applyProtection="1">
      <alignment horizontal="center" vertical="center"/>
      <protection hidden="1"/>
    </xf>
    <xf numFmtId="164" fontId="9" fillId="0" borderId="16" xfId="0" applyNumberFormat="1" applyFont="1" applyBorder="1" applyAlignment="1" applyProtection="1">
      <alignment horizontal="center" vertical="center"/>
      <protection locked="0"/>
    </xf>
    <xf numFmtId="0" fontId="5" fillId="9" borderId="10" xfId="0" applyFont="1" applyFill="1" applyBorder="1" applyAlignment="1" applyProtection="1">
      <alignment horizontal="center" vertical="center" wrapText="1"/>
      <protection hidden="1"/>
    </xf>
    <xf numFmtId="0" fontId="5" fillId="9" borderId="3" xfId="0" applyFont="1" applyFill="1" applyBorder="1" applyAlignment="1" applyProtection="1">
      <alignment horizontal="center" vertical="center" wrapText="1"/>
      <protection hidden="1"/>
    </xf>
    <xf numFmtId="0" fontId="32" fillId="0" borderId="39" xfId="0" applyFont="1" applyBorder="1"/>
    <xf numFmtId="0" fontId="32" fillId="0" borderId="34" xfId="0" applyFont="1" applyBorder="1" applyAlignment="1">
      <alignment horizontal="center"/>
    </xf>
    <xf numFmtId="0" fontId="32" fillId="0" borderId="35" xfId="0" applyFont="1" applyBorder="1" applyAlignment="1">
      <alignment horizontal="center"/>
    </xf>
    <xf numFmtId="0" fontId="0" fillId="9" borderId="41" xfId="0" applyFill="1" applyBorder="1"/>
    <xf numFmtId="0" fontId="0" fillId="9" borderId="0" xfId="0" applyFill="1"/>
    <xf numFmtId="0" fontId="0" fillId="9" borderId="31" xfId="0" applyFill="1" applyBorder="1"/>
    <xf numFmtId="0" fontId="0" fillId="8" borderId="41" xfId="0" applyFill="1" applyBorder="1"/>
    <xf numFmtId="0" fontId="0" fillId="8" borderId="0" xfId="0" applyFill="1"/>
    <xf numFmtId="2" fontId="0" fillId="9" borderId="0" xfId="0" applyNumberFormat="1" applyFill="1"/>
    <xf numFmtId="0" fontId="0" fillId="9" borderId="40" xfId="0" applyFill="1" applyBorder="1"/>
    <xf numFmtId="0" fontId="0" fillId="9" borderId="33" xfId="0" applyFill="1" applyBorder="1"/>
    <xf numFmtId="0" fontId="0" fillId="9" borderId="0" xfId="0" applyFill="1" applyAlignment="1">
      <alignment horizontal="center"/>
    </xf>
    <xf numFmtId="2" fontId="0" fillId="0" borderId="31" xfId="0" applyNumberFormat="1" applyBorder="1"/>
    <xf numFmtId="1" fontId="0" fillId="0" borderId="0" xfId="0" applyNumberFormat="1"/>
    <xf numFmtId="1" fontId="0" fillId="0" borderId="33" xfId="0" applyNumberFormat="1" applyBorder="1"/>
    <xf numFmtId="0" fontId="33" fillId="0" borderId="34" xfId="0" applyFont="1" applyBorder="1" applyAlignment="1">
      <alignment vertical="center"/>
    </xf>
    <xf numFmtId="0" fontId="33" fillId="0" borderId="33" xfId="0" applyFont="1" applyBorder="1" applyAlignment="1">
      <alignment vertical="center"/>
    </xf>
    <xf numFmtId="0" fontId="35" fillId="0" borderId="0" xfId="0" applyFont="1" applyAlignment="1">
      <alignment horizontal="left" vertical="top" wrapText="1"/>
    </xf>
    <xf numFmtId="0" fontId="0" fillId="0" borderId="15" xfId="0" applyBorder="1"/>
    <xf numFmtId="0" fontId="0" fillId="0" borderId="7" xfId="0" applyBorder="1"/>
    <xf numFmtId="0" fontId="5" fillId="0" borderId="9" xfId="0" applyFont="1" applyBorder="1"/>
    <xf numFmtId="0" fontId="9" fillId="0" borderId="9" xfId="0" applyFont="1" applyBorder="1" applyAlignment="1">
      <alignment vertical="center" wrapText="1"/>
    </xf>
    <xf numFmtId="0" fontId="18" fillId="0" borderId="4" xfId="0" applyFont="1" applyBorder="1" applyAlignment="1" applyProtection="1">
      <alignment vertical="top" wrapText="1"/>
      <protection hidden="1"/>
    </xf>
    <xf numFmtId="0" fontId="9" fillId="4" borderId="14" xfId="0" applyFont="1" applyFill="1" applyBorder="1" applyAlignment="1" applyProtection="1">
      <alignment horizontal="left" vertical="center"/>
      <protection hidden="1"/>
    </xf>
    <xf numFmtId="0" fontId="38" fillId="0" borderId="0" xfId="0" applyFont="1" applyAlignment="1">
      <alignment horizontal="left" vertical="top" wrapText="1"/>
    </xf>
    <xf numFmtId="0" fontId="5" fillId="7" borderId="56" xfId="0" applyFont="1" applyFill="1" applyBorder="1" applyAlignment="1">
      <alignment vertical="center" wrapText="1"/>
    </xf>
    <xf numFmtId="0" fontId="15" fillId="0" borderId="0" xfId="0" applyFont="1" applyAlignment="1" applyProtection="1">
      <alignment vertical="center"/>
      <protection hidden="1"/>
    </xf>
    <xf numFmtId="14" fontId="5" fillId="0" borderId="32" xfId="0" applyNumberFormat="1" applyFont="1" applyBorder="1" applyAlignment="1">
      <alignment horizontal="center" vertical="center"/>
    </xf>
    <xf numFmtId="0" fontId="42" fillId="0" borderId="0" xfId="0" applyFont="1"/>
    <xf numFmtId="0" fontId="32" fillId="0" borderId="0" xfId="0" applyFont="1" applyAlignment="1">
      <alignment horizontal="center"/>
    </xf>
    <xf numFmtId="0" fontId="9" fillId="0" borderId="14" xfId="0" applyFont="1" applyBorder="1" applyProtection="1">
      <protection hidden="1"/>
    </xf>
    <xf numFmtId="0" fontId="9" fillId="0" borderId="14" xfId="0" applyFont="1" applyBorder="1" applyAlignment="1" applyProtection="1">
      <alignment horizontal="left" vertical="top" wrapText="1"/>
      <protection hidden="1"/>
    </xf>
    <xf numFmtId="0" fontId="9" fillId="0" borderId="14" xfId="0" applyFont="1" applyBorder="1" applyAlignment="1" applyProtection="1">
      <alignment vertical="top"/>
      <protection hidden="1"/>
    </xf>
    <xf numFmtId="164" fontId="9" fillId="0" borderId="14" xfId="0" applyNumberFormat="1" applyFont="1" applyBorder="1" applyAlignment="1" applyProtection="1">
      <alignment horizontal="center" vertical="top" wrapText="1"/>
      <protection hidden="1"/>
    </xf>
    <xf numFmtId="0" fontId="10" fillId="0" borderId="0" xfId="0" applyFont="1" applyAlignment="1">
      <alignment vertical="center"/>
    </xf>
    <xf numFmtId="0" fontId="9" fillId="0" borderId="0" xfId="0" applyFont="1" applyAlignment="1">
      <alignment horizontal="left" wrapText="1"/>
    </xf>
    <xf numFmtId="0" fontId="15" fillId="0" borderId="0" xfId="0" applyFont="1" applyAlignment="1">
      <alignment vertical="top"/>
    </xf>
    <xf numFmtId="0" fontId="15" fillId="0" borderId="0" xfId="0" applyFont="1" applyAlignment="1">
      <alignment horizontal="left" vertical="top"/>
    </xf>
    <xf numFmtId="0" fontId="15" fillId="0" borderId="0" xfId="0" applyFont="1"/>
    <xf numFmtId="0" fontId="45" fillId="0" borderId="0" xfId="0" applyFont="1" applyAlignment="1">
      <alignment horizontal="left" vertical="top"/>
    </xf>
    <xf numFmtId="0" fontId="38" fillId="0" borderId="0" xfId="0" applyFont="1" applyAlignment="1">
      <alignment horizontal="left" vertical="top"/>
    </xf>
    <xf numFmtId="0" fontId="4" fillId="0" borderId="0" xfId="2" applyAlignment="1"/>
    <xf numFmtId="0" fontId="15" fillId="0" borderId="33" xfId="0" applyFont="1" applyBorder="1" applyAlignment="1">
      <alignment horizontal="left" vertical="center"/>
    </xf>
    <xf numFmtId="0" fontId="9" fillId="0" borderId="33" xfId="0" applyFont="1" applyBorder="1" applyAlignment="1">
      <alignment horizontal="center" vertical="center"/>
    </xf>
    <xf numFmtId="0" fontId="5" fillId="0" borderId="0" xfId="0" applyFont="1" applyAlignment="1">
      <alignment horizontal="right"/>
    </xf>
    <xf numFmtId="0" fontId="8" fillId="0" borderId="0" xfId="0" applyFont="1" applyProtection="1">
      <protection hidden="1"/>
    </xf>
    <xf numFmtId="0" fontId="5" fillId="0" borderId="1" xfId="0" applyFont="1" applyBorder="1" applyProtection="1">
      <protection hidden="1"/>
    </xf>
    <xf numFmtId="3" fontId="5" fillId="0" borderId="1" xfId="0" applyNumberFormat="1" applyFont="1" applyBorder="1" applyProtection="1">
      <protection hidden="1"/>
    </xf>
    <xf numFmtId="0" fontId="5"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horizontal="center" vertical="center"/>
      <protection locked="0"/>
    </xf>
    <xf numFmtId="14" fontId="5" fillId="5" borderId="16" xfId="0" applyNumberFormat="1" applyFont="1" applyFill="1" applyBorder="1" applyAlignment="1" applyProtection="1">
      <alignment horizontal="center" vertical="center"/>
      <protection locked="0"/>
    </xf>
    <xf numFmtId="14" fontId="0" fillId="0" borderId="15" xfId="0" applyNumberFormat="1" applyBorder="1"/>
    <xf numFmtId="165" fontId="0" fillId="0" borderId="0" xfId="0" applyNumberFormat="1"/>
    <xf numFmtId="166" fontId="0" fillId="0" borderId="0" xfId="0" applyNumberFormat="1"/>
    <xf numFmtId="167" fontId="0" fillId="0" borderId="0" xfId="0" applyNumberFormat="1"/>
    <xf numFmtId="166" fontId="32" fillId="0" borderId="0" xfId="0" applyNumberFormat="1" applyFont="1"/>
    <xf numFmtId="44" fontId="0" fillId="0" borderId="0" xfId="0" applyNumberFormat="1"/>
    <xf numFmtId="164" fontId="32" fillId="0" borderId="0" xfId="0" applyNumberFormat="1" applyFont="1"/>
    <xf numFmtId="166" fontId="0" fillId="0" borderId="15" xfId="0" applyNumberFormat="1" applyBorder="1"/>
    <xf numFmtId="44" fontId="0" fillId="0" borderId="15" xfId="0" applyNumberFormat="1" applyBorder="1"/>
    <xf numFmtId="44" fontId="50" fillId="0" borderId="15" xfId="0" applyNumberFormat="1" applyFont="1" applyBorder="1"/>
    <xf numFmtId="0" fontId="49" fillId="0" borderId="15" xfId="0" applyFont="1" applyBorder="1"/>
    <xf numFmtId="166" fontId="50" fillId="0" borderId="15" xfId="0" applyNumberFormat="1" applyFont="1" applyBorder="1"/>
    <xf numFmtId="0" fontId="32" fillId="0" borderId="1" xfId="0" applyFont="1" applyBorder="1"/>
    <xf numFmtId="164" fontId="32" fillId="12" borderId="0" xfId="0" applyNumberFormat="1" applyFont="1" applyFill="1"/>
    <xf numFmtId="0" fontId="51" fillId="0" borderId="0" xfId="0" applyFont="1"/>
    <xf numFmtId="0" fontId="9" fillId="5" borderId="1" xfId="0" applyFont="1" applyFill="1" applyBorder="1" applyAlignment="1" applyProtection="1">
      <alignment horizontal="center" vertical="center" wrapText="1"/>
      <protection locked="0"/>
    </xf>
    <xf numFmtId="0" fontId="47" fillId="8" borderId="0" xfId="2" applyFont="1" applyFill="1" applyBorder="1" applyAlignment="1" applyProtection="1">
      <alignment vertical="center"/>
    </xf>
    <xf numFmtId="0" fontId="0" fillId="0" borderId="43" xfId="0" applyBorder="1" applyAlignment="1">
      <alignment horizontal="right" vertical="center"/>
    </xf>
    <xf numFmtId="0" fontId="0" fillId="0" borderId="44" xfId="0" applyBorder="1" applyAlignment="1">
      <alignment horizontal="right" vertical="center"/>
    </xf>
    <xf numFmtId="0" fontId="0" fillId="0" borderId="45" xfId="0" applyBorder="1" applyAlignment="1">
      <alignment horizontal="right" vertical="center"/>
    </xf>
    <xf numFmtId="17" fontId="0" fillId="0" borderId="0" xfId="0" applyNumberFormat="1"/>
    <xf numFmtId="0" fontId="10" fillId="0" borderId="0" xfId="0" applyFont="1" applyAlignment="1" applyProtection="1">
      <alignment horizontal="left" vertical="center"/>
      <protection hidden="1"/>
    </xf>
    <xf numFmtId="0" fontId="5" fillId="0" borderId="1" xfId="0" applyFont="1" applyBorder="1" applyAlignment="1">
      <alignment horizontal="center" vertical="center" wrapText="1"/>
    </xf>
    <xf numFmtId="164" fontId="5" fillId="0" borderId="0" xfId="0" applyNumberFormat="1" applyFont="1" applyProtection="1">
      <protection hidden="1"/>
    </xf>
    <xf numFmtId="0" fontId="4" fillId="0" borderId="0" xfId="2" applyBorder="1" applyAlignment="1" applyProtection="1">
      <alignment horizontal="left" vertical="center"/>
      <protection hidden="1"/>
    </xf>
    <xf numFmtId="0" fontId="52" fillId="0" borderId="0" xfId="0" applyFont="1" applyAlignment="1">
      <alignment vertical="center"/>
    </xf>
    <xf numFmtId="0" fontId="37" fillId="0" borderId="0" xfId="0" applyFont="1"/>
    <xf numFmtId="0" fontId="37" fillId="0" borderId="0" xfId="0" applyFont="1" applyAlignment="1">
      <alignment vertical="center"/>
    </xf>
    <xf numFmtId="2" fontId="0" fillId="0" borderId="33" xfId="0" applyNumberFormat="1" applyBorder="1"/>
    <xf numFmtId="2" fontId="0" fillId="0" borderId="38" xfId="0" applyNumberFormat="1" applyBorder="1"/>
    <xf numFmtId="0" fontId="41" fillId="0" borderId="34" xfId="0" applyFont="1" applyBorder="1"/>
    <xf numFmtId="0" fontId="41" fillId="0" borderId="35" xfId="0" applyFont="1" applyBorder="1"/>
    <xf numFmtId="0" fontId="0" fillId="9" borderId="38" xfId="0" applyFill="1" applyBorder="1"/>
    <xf numFmtId="2" fontId="0" fillId="9" borderId="33" xfId="0" applyNumberFormat="1" applyFill="1" applyBorder="1"/>
    <xf numFmtId="0" fontId="37" fillId="0" borderId="31" xfId="0" applyFont="1" applyBorder="1"/>
    <xf numFmtId="3" fontId="0" fillId="0" borderId="0" xfId="0" applyNumberFormat="1"/>
    <xf numFmtId="0" fontId="5" fillId="0" borderId="33" xfId="0" applyFont="1" applyBorder="1" applyAlignment="1" applyProtection="1">
      <alignment horizontal="left" vertical="top" wrapText="1"/>
      <protection hidden="1"/>
    </xf>
    <xf numFmtId="164" fontId="5" fillId="0" borderId="64" xfId="1" applyNumberFormat="1" applyFont="1" applyBorder="1" applyAlignment="1" applyProtection="1">
      <alignment horizontal="center" vertical="center"/>
      <protection hidden="1"/>
    </xf>
    <xf numFmtId="0" fontId="5" fillId="0" borderId="37" xfId="0" applyFont="1" applyBorder="1" applyAlignment="1" applyProtection="1">
      <alignment vertical="center" wrapText="1"/>
      <protection hidden="1"/>
    </xf>
    <xf numFmtId="164" fontId="9" fillId="5" borderId="65" xfId="1" applyNumberFormat="1" applyFont="1" applyFill="1" applyBorder="1" applyAlignment="1" applyProtection="1">
      <alignment horizontal="center" vertical="center"/>
      <protection locked="0"/>
    </xf>
    <xf numFmtId="164" fontId="9" fillId="5" borderId="37" xfId="1" applyNumberFormat="1" applyFont="1" applyFill="1" applyBorder="1" applyAlignment="1" applyProtection="1">
      <alignment horizontal="center" vertical="center"/>
      <protection locked="0"/>
    </xf>
    <xf numFmtId="0" fontId="5" fillId="0" borderId="4" xfId="0" applyFont="1" applyBorder="1" applyAlignment="1" applyProtection="1">
      <alignment horizontal="left" vertical="top" wrapText="1"/>
      <protection hidden="1"/>
    </xf>
    <xf numFmtId="0" fontId="53" fillId="0" borderId="0" xfId="0" applyFont="1"/>
    <xf numFmtId="164" fontId="5" fillId="5" borderId="13" xfId="0" applyNumberFormat="1" applyFont="1" applyFill="1" applyBorder="1" applyAlignment="1" applyProtection="1">
      <alignment horizontal="center" vertical="center"/>
      <protection locked="0"/>
    </xf>
    <xf numFmtId="166" fontId="0" fillId="0" borderId="0" xfId="0" applyNumberFormat="1" applyAlignment="1">
      <alignment textRotation="180"/>
    </xf>
    <xf numFmtId="0" fontId="15" fillId="0" borderId="0" xfId="0" applyFont="1" applyAlignment="1" applyProtection="1">
      <alignment horizontal="right" vertical="center"/>
      <protection hidden="1"/>
    </xf>
    <xf numFmtId="166" fontId="0" fillId="0" borderId="0" xfId="0" applyNumberFormat="1" applyAlignment="1">
      <alignment horizontal="center" textRotation="180"/>
    </xf>
    <xf numFmtId="0" fontId="46" fillId="0" borderId="0" xfId="0" applyFont="1"/>
    <xf numFmtId="0" fontId="10" fillId="0" borderId="34" xfId="0" applyFont="1" applyBorder="1" applyAlignment="1" applyProtection="1">
      <alignment vertical="top" wrapText="1"/>
      <protection hidden="1"/>
    </xf>
    <xf numFmtId="0" fontId="10" fillId="0" borderId="34" xfId="0" applyFont="1" applyBorder="1" applyProtection="1">
      <protection hidden="1"/>
    </xf>
    <xf numFmtId="165" fontId="22" fillId="0" borderId="0" xfId="0" applyNumberFormat="1" applyFont="1" applyProtection="1">
      <protection hidden="1"/>
    </xf>
    <xf numFmtId="0" fontId="55" fillId="0" borderId="0" xfId="0" applyFont="1" applyAlignment="1">
      <alignment horizontal="left" vertical="top"/>
    </xf>
    <xf numFmtId="0" fontId="44" fillId="0" borderId="0" xfId="0" applyFont="1" applyAlignment="1">
      <alignment vertical="center" wrapText="1"/>
    </xf>
    <xf numFmtId="0" fontId="19" fillId="0" borderId="15" xfId="0" applyFont="1" applyBorder="1" applyAlignment="1">
      <alignment horizontal="left" vertical="top" wrapText="1"/>
    </xf>
    <xf numFmtId="164" fontId="5" fillId="0" borderId="0" xfId="0" applyNumberFormat="1" applyFont="1" applyAlignment="1" applyProtection="1">
      <alignment vertical="center"/>
      <protection hidden="1"/>
    </xf>
    <xf numFmtId="164" fontId="9" fillId="0" borderId="1" xfId="0" applyNumberFormat="1" applyFont="1" applyBorder="1" applyAlignment="1" applyProtection="1">
      <alignment vertical="center"/>
      <protection hidden="1"/>
    </xf>
    <xf numFmtId="0" fontId="59" fillId="7" borderId="56" xfId="0" applyFont="1" applyFill="1" applyBorder="1" applyAlignment="1">
      <alignment horizontal="left" vertical="top" wrapText="1"/>
    </xf>
    <xf numFmtId="0" fontId="59" fillId="7" borderId="57" xfId="0" applyFont="1" applyFill="1" applyBorder="1" applyAlignment="1">
      <alignment horizontal="left" vertical="top" wrapText="1"/>
    </xf>
    <xf numFmtId="0" fontId="5" fillId="0" borderId="4" xfId="0" applyFont="1" applyBorder="1" applyAlignment="1">
      <alignment vertical="center" wrapText="1"/>
    </xf>
    <xf numFmtId="0" fontId="5" fillId="17" borderId="0" xfId="0" applyFont="1" applyFill="1"/>
    <xf numFmtId="0" fontId="5" fillId="17" borderId="0" xfId="0" applyFont="1" applyFill="1" applyAlignment="1">
      <alignment vertical="top"/>
    </xf>
    <xf numFmtId="0" fontId="5" fillId="17" borderId="0" xfId="0" applyFont="1" applyFill="1" applyAlignment="1" applyProtection="1">
      <alignment horizontal="right" vertical="center"/>
      <protection hidden="1"/>
    </xf>
    <xf numFmtId="0" fontId="5" fillId="17" borderId="0" xfId="0" applyFont="1" applyFill="1" applyAlignment="1" applyProtection="1">
      <alignment vertical="top"/>
      <protection hidden="1"/>
    </xf>
    <xf numFmtId="0" fontId="4" fillId="17" borderId="0" xfId="2" applyFill="1" applyBorder="1" applyAlignment="1" applyProtection="1">
      <alignment horizontal="left" vertical="center"/>
      <protection hidden="1"/>
    </xf>
    <xf numFmtId="0" fontId="5" fillId="17" borderId="0" xfId="0" applyFont="1" applyFill="1" applyAlignment="1" applyProtection="1">
      <alignment vertical="top" wrapText="1"/>
      <protection hidden="1"/>
    </xf>
    <xf numFmtId="0" fontId="15" fillId="17" borderId="0" xfId="0" applyFont="1" applyFill="1" applyAlignment="1">
      <alignment vertical="top"/>
    </xf>
    <xf numFmtId="0" fontId="15" fillId="17" borderId="0" xfId="0" applyFont="1" applyFill="1" applyAlignment="1" applyProtection="1">
      <alignment vertical="top"/>
      <protection hidden="1"/>
    </xf>
    <xf numFmtId="0" fontId="5" fillId="17" borderId="0" xfId="0" applyFont="1" applyFill="1" applyAlignment="1">
      <alignment vertical="center"/>
    </xf>
    <xf numFmtId="0" fontId="5" fillId="17" borderId="0" xfId="0" applyFont="1" applyFill="1" applyAlignment="1">
      <alignment vertical="center" wrapText="1"/>
    </xf>
    <xf numFmtId="0" fontId="9" fillId="17" borderId="0" xfId="0" applyFont="1" applyFill="1" applyAlignment="1">
      <alignment vertical="center" wrapText="1"/>
    </xf>
    <xf numFmtId="0" fontId="5" fillId="17" borderId="0" xfId="0" applyFont="1" applyFill="1" applyProtection="1">
      <protection hidden="1"/>
    </xf>
    <xf numFmtId="0" fontId="8" fillId="17" borderId="0" xfId="0" applyFont="1" applyFill="1" applyAlignment="1" applyProtection="1">
      <alignment vertical="center"/>
      <protection hidden="1"/>
    </xf>
    <xf numFmtId="0" fontId="4" fillId="17" borderId="0" xfId="2" applyFill="1" applyAlignment="1">
      <alignment vertical="top"/>
    </xf>
    <xf numFmtId="0" fontId="9" fillId="17" borderId="0" xfId="0" applyFont="1" applyFill="1" applyAlignment="1">
      <alignment horizontal="left" vertical="center" wrapText="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47" fillId="17" borderId="0" xfId="2" applyFont="1" applyFill="1" applyBorder="1" applyAlignment="1" applyProtection="1">
      <alignment vertical="center"/>
    </xf>
    <xf numFmtId="0" fontId="18" fillId="17" borderId="0" xfId="0" applyFont="1" applyFill="1" applyAlignment="1">
      <alignment vertical="top"/>
    </xf>
    <xf numFmtId="0" fontId="0" fillId="17" borderId="0" xfId="0" applyFill="1"/>
    <xf numFmtId="0" fontId="5" fillId="17" borderId="0" xfId="0" applyFont="1" applyFill="1" applyAlignment="1" applyProtection="1">
      <alignment vertical="center" wrapText="1"/>
      <protection hidden="1"/>
    </xf>
    <xf numFmtId="0" fontId="20" fillId="17" borderId="0" xfId="0" applyFont="1" applyFill="1" applyAlignment="1" applyProtection="1">
      <alignment vertical="center"/>
      <protection hidden="1"/>
    </xf>
    <xf numFmtId="0" fontId="5" fillId="17" borderId="0" xfId="0" applyFont="1" applyFill="1" applyAlignment="1" applyProtection="1">
      <alignment horizontal="center" vertical="center" wrapText="1"/>
      <protection hidden="1"/>
    </xf>
    <xf numFmtId="164" fontId="9" fillId="17" borderId="0" xfId="0" applyNumberFormat="1" applyFont="1" applyFill="1" applyAlignment="1">
      <alignment horizontal="center" vertical="center" wrapText="1"/>
    </xf>
    <xf numFmtId="0" fontId="5" fillId="17" borderId="0" xfId="0" applyFont="1" applyFill="1" applyAlignment="1">
      <alignment horizontal="center" vertical="center"/>
    </xf>
    <xf numFmtId="164" fontId="9" fillId="17" borderId="0" xfId="0" applyNumberFormat="1" applyFont="1" applyFill="1" applyAlignment="1" applyProtection="1">
      <alignment vertical="top"/>
      <protection hidden="1"/>
    </xf>
    <xf numFmtId="0" fontId="5" fillId="17" borderId="0" xfId="0" applyFont="1" applyFill="1" applyAlignment="1" applyProtection="1">
      <alignment horizontal="center" vertical="center"/>
      <protection hidden="1"/>
    </xf>
    <xf numFmtId="164" fontId="10" fillId="17" borderId="0" xfId="0" applyNumberFormat="1" applyFont="1" applyFill="1" applyAlignment="1" applyProtection="1">
      <alignment horizontal="right" vertical="top"/>
      <protection hidden="1"/>
    </xf>
    <xf numFmtId="164" fontId="9" fillId="17" borderId="0" xfId="0" applyNumberFormat="1" applyFont="1" applyFill="1" applyAlignment="1" applyProtection="1">
      <alignment horizontal="center" vertical="center"/>
      <protection hidden="1"/>
    </xf>
    <xf numFmtId="0" fontId="7" fillId="17" borderId="0" xfId="0" applyFont="1" applyFill="1" applyProtection="1">
      <protection hidden="1"/>
    </xf>
    <xf numFmtId="0" fontId="39" fillId="0" borderId="0" xfId="0" applyFont="1"/>
    <xf numFmtId="0" fontId="61" fillId="0" borderId="0" xfId="0" applyFont="1" applyAlignment="1">
      <alignment horizontal="left" vertical="center"/>
    </xf>
    <xf numFmtId="0" fontId="62" fillId="0" borderId="0" xfId="0" applyFont="1" applyAlignment="1">
      <alignment horizontal="left" vertical="center"/>
    </xf>
    <xf numFmtId="0" fontId="5" fillId="9" borderId="14" xfId="0" applyFont="1" applyFill="1" applyBorder="1" applyAlignment="1">
      <alignment horizontal="left" vertical="top" wrapText="1"/>
    </xf>
    <xf numFmtId="7" fontId="8" fillId="0" borderId="4" xfId="0" applyNumberFormat="1" applyFont="1" applyBorder="1" applyAlignment="1" applyProtection="1">
      <alignment vertical="center"/>
      <protection hidden="1"/>
    </xf>
    <xf numFmtId="7" fontId="28" fillId="0" borderId="4" xfId="0" applyNumberFormat="1" applyFont="1" applyBorder="1" applyAlignment="1" applyProtection="1">
      <alignment vertical="center"/>
      <protection hidden="1"/>
    </xf>
    <xf numFmtId="7" fontId="5" fillId="0" borderId="27" xfId="0" applyNumberFormat="1" applyFont="1" applyBorder="1" applyAlignment="1">
      <alignment vertical="center"/>
    </xf>
    <xf numFmtId="7" fontId="8" fillId="0" borderId="4" xfId="0" applyNumberFormat="1" applyFont="1" applyBorder="1" applyAlignment="1" applyProtection="1">
      <alignment vertical="center" wrapText="1"/>
      <protection hidden="1"/>
    </xf>
    <xf numFmtId="7" fontId="8" fillId="0" borderId="0" xfId="0" applyNumberFormat="1" applyFont="1" applyAlignment="1" applyProtection="1">
      <alignment horizontal="right" vertical="center" wrapText="1"/>
      <protection hidden="1"/>
    </xf>
    <xf numFmtId="7" fontId="28" fillId="0" borderId="0" xfId="0" applyNumberFormat="1" applyFont="1" applyAlignment="1" applyProtection="1">
      <alignment horizontal="right" vertical="center"/>
      <protection hidden="1"/>
    </xf>
    <xf numFmtId="7" fontId="8" fillId="0" borderId="0" xfId="0" applyNumberFormat="1" applyFont="1" applyAlignment="1" applyProtection="1">
      <alignment horizontal="right" vertical="center"/>
      <protection hidden="1"/>
    </xf>
    <xf numFmtId="7" fontId="5" fillId="0" borderId="0" xfId="0" applyNumberFormat="1" applyFont="1" applyAlignment="1">
      <alignment horizontal="right" vertical="center"/>
    </xf>
    <xf numFmtId="0" fontId="5" fillId="0" borderId="42" xfId="0" applyFont="1" applyBorder="1" applyAlignment="1">
      <alignment horizontal="left" vertical="center"/>
    </xf>
    <xf numFmtId="0" fontId="5" fillId="7" borderId="40" xfId="0" applyFont="1" applyFill="1" applyBorder="1" applyAlignment="1" applyProtection="1">
      <alignment vertical="center" wrapText="1"/>
      <protection hidden="1"/>
    </xf>
    <xf numFmtId="0" fontId="5" fillId="7" borderId="56" xfId="0" applyFont="1" applyFill="1" applyBorder="1" applyAlignment="1" applyProtection="1">
      <alignment vertical="center" wrapText="1"/>
      <protection hidden="1"/>
    </xf>
    <xf numFmtId="0" fontId="5" fillId="18" borderId="19" xfId="0" applyFont="1" applyFill="1" applyBorder="1" applyAlignment="1" applyProtection="1">
      <alignment horizontal="center" vertical="center" wrapText="1"/>
      <protection hidden="1"/>
    </xf>
    <xf numFmtId="0" fontId="5" fillId="18" borderId="12" xfId="0" applyFont="1" applyFill="1" applyBorder="1" applyAlignment="1" applyProtection="1">
      <alignment horizontal="center" vertical="center" wrapText="1"/>
      <protection hidden="1"/>
    </xf>
    <xf numFmtId="0" fontId="5" fillId="18" borderId="52" xfId="0" applyFont="1" applyFill="1" applyBorder="1" applyAlignment="1" applyProtection="1">
      <alignment vertical="center"/>
      <protection hidden="1"/>
    </xf>
    <xf numFmtId="0" fontId="5" fillId="18" borderId="24" xfId="0" applyFont="1" applyFill="1" applyBorder="1" applyAlignment="1" applyProtection="1">
      <alignment horizontal="center" vertical="center" wrapText="1"/>
      <protection hidden="1"/>
    </xf>
    <xf numFmtId="0" fontId="5" fillId="18" borderId="30" xfId="0" applyFont="1" applyFill="1" applyBorder="1" applyAlignment="1" applyProtection="1">
      <alignment vertical="center"/>
      <protection hidden="1"/>
    </xf>
    <xf numFmtId="0" fontId="9" fillId="18" borderId="26" xfId="0" applyFont="1" applyFill="1" applyBorder="1" applyAlignment="1">
      <alignment vertical="center" wrapText="1"/>
    </xf>
    <xf numFmtId="0" fontId="9" fillId="0" borderId="47" xfId="0" applyFont="1" applyBorder="1" applyAlignment="1" applyProtection="1">
      <alignment horizontal="right" vertical="center"/>
      <protection hidden="1"/>
    </xf>
    <xf numFmtId="0" fontId="9" fillId="0" borderId="31" xfId="0" applyFont="1" applyBorder="1" applyAlignment="1" applyProtection="1">
      <alignment horizontal="left" vertical="top" wrapText="1"/>
      <protection hidden="1"/>
    </xf>
    <xf numFmtId="164" fontId="15" fillId="0" borderId="45" xfId="0" applyNumberFormat="1" applyFont="1" applyBorder="1" applyAlignment="1" applyProtection="1">
      <alignment horizontal="center" vertical="center"/>
      <protection hidden="1"/>
    </xf>
    <xf numFmtId="0" fontId="26" fillId="0" borderId="33" xfId="0" applyFont="1" applyBorder="1" applyAlignment="1" applyProtection="1">
      <alignment horizontal="left" wrapText="1"/>
      <protection hidden="1"/>
    </xf>
    <xf numFmtId="0" fontId="9" fillId="0" borderId="0" xfId="0" applyFont="1" applyAlignment="1" applyProtection="1">
      <alignment vertical="center" wrapText="1"/>
      <protection hidden="1"/>
    </xf>
    <xf numFmtId="0" fontId="9" fillId="0" borderId="0" xfId="0" applyFont="1" applyAlignment="1">
      <alignment horizontal="center" vertical="center" wrapText="1"/>
    </xf>
    <xf numFmtId="0" fontId="18" fillId="8" borderId="1" xfId="0" applyFont="1" applyFill="1" applyBorder="1" applyAlignment="1" applyProtection="1">
      <alignment vertical="center"/>
      <protection hidden="1"/>
    </xf>
    <xf numFmtId="0" fontId="63" fillId="0" borderId="0" xfId="0" applyFont="1"/>
    <xf numFmtId="0" fontId="64" fillId="0" borderId="0" xfId="0" applyFont="1" applyAlignment="1">
      <alignment horizontal="left" vertical="center"/>
    </xf>
    <xf numFmtId="0" fontId="64" fillId="0" borderId="0" xfId="0" applyFont="1"/>
    <xf numFmtId="14" fontId="5" fillId="8" borderId="0" xfId="0" applyNumberFormat="1" applyFont="1" applyFill="1" applyAlignment="1" applyProtection="1">
      <alignment horizontal="center" vertical="center"/>
      <protection locked="0"/>
    </xf>
    <xf numFmtId="0" fontId="6" fillId="17" borderId="0" xfId="0" applyFont="1" applyFill="1" applyProtection="1">
      <protection hidden="1"/>
    </xf>
    <xf numFmtId="0" fontId="6" fillId="0" borderId="0" xfId="0" applyFont="1" applyProtection="1">
      <protection hidden="1"/>
    </xf>
    <xf numFmtId="0" fontId="5" fillId="0" borderId="41" xfId="0" applyFont="1" applyBorder="1" applyAlignment="1">
      <alignment vertical="top" wrapText="1"/>
    </xf>
    <xf numFmtId="0" fontId="5" fillId="0" borderId="31" xfId="0" applyFont="1" applyBorder="1" applyAlignment="1">
      <alignment vertical="top" wrapText="1"/>
    </xf>
    <xf numFmtId="0" fontId="5" fillId="0" borderId="40" xfId="0" applyFont="1" applyBorder="1" applyAlignment="1">
      <alignment vertical="top" wrapText="1"/>
    </xf>
    <xf numFmtId="0" fontId="5" fillId="0" borderId="33" xfId="0" applyFont="1" applyBorder="1" applyAlignment="1">
      <alignment vertical="top" wrapText="1"/>
    </xf>
    <xf numFmtId="0" fontId="5" fillId="0" borderId="38" xfId="0" applyFont="1" applyBorder="1" applyAlignment="1">
      <alignment vertical="top" wrapText="1"/>
    </xf>
    <xf numFmtId="0" fontId="5" fillId="0" borderId="3" xfId="0" applyFont="1" applyBorder="1" applyAlignment="1">
      <alignment vertical="top" wrapText="1"/>
    </xf>
    <xf numFmtId="0" fontId="9" fillId="9" borderId="58" xfId="0" applyFont="1" applyFill="1" applyBorder="1" applyAlignment="1">
      <alignment vertical="center"/>
    </xf>
    <xf numFmtId="0" fontId="9" fillId="9" borderId="65" xfId="0" applyFont="1" applyFill="1" applyBorder="1" applyAlignment="1">
      <alignment vertical="center"/>
    </xf>
    <xf numFmtId="0" fontId="9" fillId="9" borderId="64" xfId="0" applyFont="1" applyFill="1" applyBorder="1" applyAlignment="1">
      <alignment vertical="center"/>
    </xf>
    <xf numFmtId="0" fontId="9" fillId="8" borderId="14" xfId="0" applyFont="1" applyFill="1" applyBorder="1" applyAlignment="1">
      <alignment vertical="center"/>
    </xf>
    <xf numFmtId="0" fontId="9" fillId="0" borderId="0" xfId="0" applyFont="1" applyAlignment="1" applyProtection="1">
      <alignment horizontal="center"/>
      <protection hidden="1"/>
    </xf>
    <xf numFmtId="0" fontId="30" fillId="0" borderId="0" xfId="0" applyFont="1" applyAlignment="1">
      <alignment vertical="top"/>
    </xf>
    <xf numFmtId="0" fontId="5" fillId="0" borderId="47" xfId="0" applyFont="1" applyBorder="1" applyAlignment="1">
      <alignment horizontal="left" vertical="center"/>
    </xf>
    <xf numFmtId="0" fontId="9" fillId="0" borderId="0" xfId="0" applyFont="1" applyAlignment="1" applyProtection="1">
      <alignment horizontal="right" vertical="top" wrapText="1"/>
      <protection hidden="1"/>
    </xf>
    <xf numFmtId="164" fontId="15" fillId="0" borderId="0" xfId="0" applyNumberFormat="1" applyFont="1" applyAlignment="1" applyProtection="1">
      <alignment horizontal="center" vertical="center"/>
      <protection hidden="1"/>
    </xf>
    <xf numFmtId="0" fontId="9" fillId="0" borderId="0" xfId="0" applyFont="1" applyAlignment="1" applyProtection="1">
      <alignment vertical="top" wrapText="1"/>
      <protection hidden="1"/>
    </xf>
    <xf numFmtId="0" fontId="6" fillId="0" borderId="0" xfId="0" applyFont="1" applyAlignment="1">
      <alignment wrapText="1"/>
    </xf>
    <xf numFmtId="164" fontId="9" fillId="0" borderId="1" xfId="0" applyNumberFormat="1" applyFont="1" applyBorder="1" applyAlignment="1" applyProtection="1">
      <alignment horizontal="center" vertical="center" wrapText="1"/>
      <protection hidden="1"/>
    </xf>
    <xf numFmtId="164" fontId="71" fillId="5" borderId="5" xfId="0" applyNumberFormat="1" applyFont="1" applyFill="1" applyBorder="1" applyAlignment="1" applyProtection="1">
      <alignment horizontal="center" vertical="center" wrapText="1"/>
      <protection locked="0"/>
    </xf>
    <xf numFmtId="7" fontId="28" fillId="0" borderId="15" xfId="0" applyNumberFormat="1" applyFont="1" applyBorder="1" applyAlignment="1" applyProtection="1">
      <alignment vertical="center"/>
      <protection hidden="1"/>
    </xf>
    <xf numFmtId="7" fontId="28" fillId="0" borderId="5" xfId="0" applyNumberFormat="1" applyFont="1" applyBorder="1" applyAlignment="1" applyProtection="1">
      <alignment vertical="center"/>
      <protection hidden="1"/>
    </xf>
    <xf numFmtId="0" fontId="9" fillId="8" borderId="47" xfId="0" applyFont="1" applyFill="1" applyBorder="1" applyAlignment="1" applyProtection="1">
      <alignment horizontal="right" vertical="center"/>
      <protection hidden="1"/>
    </xf>
    <xf numFmtId="164" fontId="15" fillId="0" borderId="1" xfId="0" applyNumberFormat="1" applyFont="1" applyBorder="1" applyAlignment="1" applyProtection="1">
      <alignment horizontal="center" vertical="center"/>
      <protection hidden="1"/>
    </xf>
    <xf numFmtId="164" fontId="69" fillId="8" borderId="44" xfId="0" applyNumberFormat="1" applyFont="1" applyFill="1" applyBorder="1" applyAlignment="1" applyProtection="1">
      <alignment horizontal="center" vertical="center"/>
      <protection hidden="1"/>
    </xf>
    <xf numFmtId="0" fontId="48" fillId="13" borderId="8" xfId="0" applyFont="1" applyFill="1" applyBorder="1" applyAlignment="1" applyProtection="1">
      <alignment horizontal="center" vertical="center"/>
      <protection hidden="1"/>
    </xf>
    <xf numFmtId="0" fontId="5" fillId="13" borderId="0" xfId="0" applyFont="1" applyFill="1" applyProtection="1">
      <protection hidden="1"/>
    </xf>
    <xf numFmtId="0" fontId="5" fillId="13" borderId="9" xfId="0" applyFont="1" applyFill="1" applyBorder="1" applyProtection="1">
      <protection hidden="1"/>
    </xf>
    <xf numFmtId="0" fontId="9" fillId="8" borderId="0" xfId="0" applyFont="1" applyFill="1" applyAlignment="1">
      <alignment horizontal="left" vertical="center" wrapText="1"/>
    </xf>
    <xf numFmtId="0" fontId="47" fillId="17" borderId="0" xfId="2" applyFont="1" applyFill="1" applyAlignment="1" applyProtection="1">
      <alignment horizontal="left" vertical="center"/>
    </xf>
    <xf numFmtId="0" fontId="47" fillId="17" borderId="0" xfId="2" applyFont="1" applyFill="1" applyBorder="1" applyAlignment="1" applyProtection="1">
      <alignment horizontal="left" vertical="center"/>
      <protection locked="0"/>
    </xf>
    <xf numFmtId="0" fontId="10" fillId="0" borderId="0" xfId="0" applyFont="1" applyAlignment="1">
      <alignment horizontal="left"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14" borderId="48" xfId="0" applyFont="1" applyFill="1" applyBorder="1" applyAlignment="1" applyProtection="1">
      <alignment horizontal="left" vertical="center" wrapText="1"/>
      <protection locked="0"/>
    </xf>
    <xf numFmtId="0" fontId="9" fillId="14" borderId="57" xfId="0" applyFont="1" applyFill="1" applyBorder="1" applyAlignment="1" applyProtection="1">
      <alignment horizontal="left" vertical="center" wrapText="1"/>
      <protection locked="0"/>
    </xf>
    <xf numFmtId="0" fontId="9" fillId="14" borderId="16" xfId="0" applyFont="1" applyFill="1" applyBorder="1" applyAlignment="1" applyProtection="1">
      <alignment horizontal="left" vertical="center" wrapText="1"/>
      <protection locked="0"/>
    </xf>
    <xf numFmtId="0" fontId="9" fillId="8" borderId="0" xfId="0" applyFont="1" applyFill="1" applyAlignment="1">
      <alignment horizontal="left" vertical="top" wrapText="1"/>
    </xf>
    <xf numFmtId="0" fontId="9" fillId="9" borderId="56" xfId="0" applyFont="1" applyFill="1" applyBorder="1" applyAlignment="1">
      <alignment horizontal="left" vertical="center" wrapText="1"/>
    </xf>
    <xf numFmtId="0" fontId="9" fillId="9" borderId="57" xfId="0" applyFont="1" applyFill="1" applyBorder="1" applyAlignment="1">
      <alignment horizontal="left" vertical="center" wrapText="1"/>
    </xf>
    <xf numFmtId="0" fontId="9" fillId="9" borderId="32" xfId="0" applyFont="1" applyFill="1" applyBorder="1" applyAlignment="1">
      <alignment horizontal="left" vertical="center" wrapText="1"/>
    </xf>
    <xf numFmtId="0" fontId="15" fillId="0" borderId="33" xfId="0" applyFont="1" applyBorder="1" applyAlignment="1">
      <alignment horizontal="left" vertical="center" wrapText="1"/>
    </xf>
    <xf numFmtId="0" fontId="9" fillId="7" borderId="57" xfId="0" applyFont="1" applyFill="1" applyBorder="1" applyAlignment="1">
      <alignment horizontal="left" vertical="center" wrapText="1"/>
    </xf>
    <xf numFmtId="0" fontId="9" fillId="7" borderId="16" xfId="0" applyFont="1" applyFill="1" applyBorder="1" applyAlignment="1">
      <alignment horizontal="left" vertical="center" wrapText="1"/>
    </xf>
    <xf numFmtId="0" fontId="9" fillId="14" borderId="57" xfId="0" applyFont="1" applyFill="1" applyBorder="1" applyAlignment="1" applyProtection="1">
      <alignment vertical="center"/>
      <protection locked="0"/>
    </xf>
    <xf numFmtId="0" fontId="9" fillId="14" borderId="16" xfId="0" applyFont="1" applyFill="1" applyBorder="1" applyAlignment="1" applyProtection="1">
      <alignment vertical="center"/>
      <protection locked="0"/>
    </xf>
    <xf numFmtId="0" fontId="8" fillId="13" borderId="61" xfId="0" applyFont="1" applyFill="1" applyBorder="1" applyAlignment="1" applyProtection="1">
      <alignment horizontal="left" vertical="center" wrapText="1"/>
      <protection hidden="1"/>
    </xf>
    <xf numFmtId="0" fontId="66" fillId="0" borderId="0" xfId="0" applyFont="1" applyAlignment="1">
      <alignment horizontal="left" vertical="top" wrapText="1"/>
    </xf>
    <xf numFmtId="0" fontId="58" fillId="0" borderId="0" xfId="0" applyFont="1" applyAlignment="1">
      <alignment horizontal="left" vertical="top" wrapText="1"/>
    </xf>
    <xf numFmtId="0" fontId="60" fillId="0" borderId="0" xfId="0" applyFont="1" applyAlignment="1">
      <alignment horizontal="left" vertical="top" wrapText="1"/>
    </xf>
    <xf numFmtId="0" fontId="9" fillId="14" borderId="48" xfId="0" applyFont="1" applyFill="1" applyBorder="1" applyAlignment="1" applyProtection="1">
      <alignment vertical="center" wrapText="1"/>
      <protection locked="0"/>
    </xf>
    <xf numFmtId="0" fontId="9" fillId="14" borderId="57" xfId="0" applyFont="1" applyFill="1" applyBorder="1" applyAlignment="1" applyProtection="1">
      <alignment vertical="center" wrapText="1"/>
      <protection locked="0"/>
    </xf>
    <xf numFmtId="0" fontId="9" fillId="14" borderId="16" xfId="0" applyFont="1" applyFill="1" applyBorder="1" applyAlignment="1" applyProtection="1">
      <alignment vertical="center" wrapText="1"/>
      <protection locked="0"/>
    </xf>
    <xf numFmtId="0" fontId="9" fillId="14" borderId="48" xfId="0" applyFont="1" applyFill="1" applyBorder="1" applyAlignment="1" applyProtection="1">
      <alignment horizontal="left" vertical="center"/>
      <protection locked="0"/>
    </xf>
    <xf numFmtId="0" fontId="9" fillId="14" borderId="57" xfId="0" applyFont="1" applyFill="1" applyBorder="1" applyAlignment="1" applyProtection="1">
      <alignment horizontal="left" vertical="center"/>
      <protection locked="0"/>
    </xf>
    <xf numFmtId="0" fontId="9" fillId="14" borderId="16" xfId="0" applyFont="1" applyFill="1" applyBorder="1" applyAlignment="1" applyProtection="1">
      <alignment horizontal="left" vertical="center"/>
      <protection locked="0"/>
    </xf>
    <xf numFmtId="3" fontId="9" fillId="14" borderId="48" xfId="0" applyNumberFormat="1" applyFont="1" applyFill="1" applyBorder="1" applyAlignment="1" applyProtection="1">
      <alignment horizontal="right" vertical="center"/>
      <protection locked="0"/>
    </xf>
    <xf numFmtId="3" fontId="9" fillId="14" borderId="57" xfId="0" applyNumberFormat="1" applyFont="1" applyFill="1" applyBorder="1" applyAlignment="1" applyProtection="1">
      <alignment horizontal="right" vertical="center"/>
      <protection locked="0"/>
    </xf>
    <xf numFmtId="3" fontId="9" fillId="14" borderId="16" xfId="0" applyNumberFormat="1" applyFont="1" applyFill="1" applyBorder="1" applyAlignment="1" applyProtection="1">
      <alignment horizontal="right" vertical="center"/>
      <protection locked="0"/>
    </xf>
    <xf numFmtId="0" fontId="4" fillId="17" borderId="0" xfId="2" applyFill="1" applyBorder="1" applyAlignment="1" applyProtection="1">
      <alignment horizontal="left" vertical="center"/>
      <protection hidden="1"/>
    </xf>
    <xf numFmtId="0" fontId="19" fillId="0" borderId="34" xfId="0" applyFont="1" applyBorder="1" applyAlignment="1">
      <alignment horizontal="left" vertical="top" wrapText="1"/>
    </xf>
    <xf numFmtId="0" fontId="9" fillId="13" borderId="3" xfId="0" applyFont="1" applyFill="1" applyBorder="1" applyAlignment="1">
      <alignment horizontal="left" vertical="top" wrapText="1"/>
    </xf>
    <xf numFmtId="0" fontId="8" fillId="13" borderId="6" xfId="0" applyFont="1" applyFill="1" applyBorder="1" applyAlignment="1" applyProtection="1">
      <alignment horizontal="left" vertical="center" wrapText="1"/>
      <protection hidden="1"/>
    </xf>
    <xf numFmtId="0" fontId="8" fillId="13" borderId="15" xfId="0" applyFont="1" applyFill="1" applyBorder="1" applyAlignment="1" applyProtection="1">
      <alignment horizontal="left" vertical="center" wrapText="1"/>
      <protection hidden="1"/>
    </xf>
    <xf numFmtId="0" fontId="8" fillId="13" borderId="7" xfId="0" applyFont="1" applyFill="1" applyBorder="1" applyAlignment="1" applyProtection="1">
      <alignment horizontal="left" vertical="center" wrapText="1"/>
      <protection hidden="1"/>
    </xf>
    <xf numFmtId="0" fontId="5" fillId="13" borderId="10" xfId="0" applyFont="1" applyFill="1" applyBorder="1" applyAlignment="1" applyProtection="1">
      <alignment horizontal="left" vertical="top" wrapText="1"/>
      <protection hidden="1"/>
    </xf>
    <xf numFmtId="0" fontId="5" fillId="13" borderId="14" xfId="0" applyFont="1" applyFill="1" applyBorder="1" applyAlignment="1" applyProtection="1">
      <alignment horizontal="left" vertical="top" wrapText="1"/>
      <protection hidden="1"/>
    </xf>
    <xf numFmtId="0" fontId="5" fillId="13" borderId="11" xfId="0" applyFont="1" applyFill="1" applyBorder="1" applyAlignment="1" applyProtection="1">
      <alignment horizontal="left" vertical="top" wrapText="1"/>
      <protection hidden="1"/>
    </xf>
    <xf numFmtId="0" fontId="39" fillId="0" borderId="0" xfId="0" applyFont="1" applyAlignment="1">
      <alignment horizontal="left" vertical="center" wrapText="1"/>
    </xf>
    <xf numFmtId="0" fontId="15" fillId="0" borderId="0" xfId="0" applyFont="1" applyAlignment="1">
      <alignment horizontal="left" vertical="center" wrapText="1"/>
    </xf>
    <xf numFmtId="14" fontId="9" fillId="9" borderId="56" xfId="0" applyNumberFormat="1" applyFont="1" applyFill="1" applyBorder="1" applyAlignment="1">
      <alignment horizontal="left" vertical="center"/>
    </xf>
    <xf numFmtId="14" fontId="9" fillId="9" borderId="57" xfId="0" applyNumberFormat="1" applyFont="1" applyFill="1" applyBorder="1" applyAlignment="1">
      <alignment horizontal="left" vertical="center"/>
    </xf>
    <xf numFmtId="14" fontId="5" fillId="0" borderId="48" xfId="0" applyNumberFormat="1" applyFont="1" applyBorder="1" applyAlignment="1">
      <alignment horizontal="center" vertical="center"/>
    </xf>
    <xf numFmtId="14" fontId="5" fillId="0" borderId="16" xfId="0" applyNumberFormat="1" applyFont="1" applyBorder="1" applyAlignment="1">
      <alignment horizontal="center" vertical="center"/>
    </xf>
    <xf numFmtId="14" fontId="5" fillId="7" borderId="48" xfId="0" applyNumberFormat="1" applyFont="1" applyFill="1" applyBorder="1" applyAlignment="1" applyProtection="1">
      <alignment horizontal="center" vertical="center"/>
      <protection locked="0"/>
    </xf>
    <xf numFmtId="0" fontId="5" fillId="7" borderId="32" xfId="0" applyFont="1" applyFill="1" applyBorder="1" applyAlignment="1" applyProtection="1">
      <alignment horizontal="center" vertical="center"/>
      <protection locked="0"/>
    </xf>
    <xf numFmtId="0" fontId="5" fillId="0" borderId="0" xfId="0" applyFont="1" applyAlignment="1">
      <alignment horizontal="left" wrapText="1"/>
    </xf>
    <xf numFmtId="14" fontId="17" fillId="0" borderId="0" xfId="0" applyNumberFormat="1" applyFont="1" applyAlignment="1">
      <alignment horizontal="center"/>
    </xf>
    <xf numFmtId="0" fontId="8" fillId="17" borderId="0" xfId="0" applyFont="1" applyFill="1" applyAlignment="1">
      <alignment horizontal="left" vertical="top" wrapText="1"/>
    </xf>
    <xf numFmtId="0" fontId="0" fillId="0" borderId="0" xfId="0" applyAlignment="1">
      <alignment horizontal="center"/>
    </xf>
    <xf numFmtId="0" fontId="5" fillId="10" borderId="2" xfId="0" applyFont="1" applyFill="1" applyBorder="1" applyAlignment="1">
      <alignment horizontal="left" vertical="top" wrapText="1"/>
    </xf>
    <xf numFmtId="0" fontId="5" fillId="10" borderId="4" xfId="0" applyFont="1" applyFill="1" applyBorder="1" applyAlignment="1">
      <alignment horizontal="left" vertical="top" wrapText="1"/>
    </xf>
    <xf numFmtId="0" fontId="5" fillId="10" borderId="5" xfId="0" applyFont="1" applyFill="1" applyBorder="1" applyAlignment="1">
      <alignment horizontal="left" vertical="top" wrapText="1"/>
    </xf>
    <xf numFmtId="0" fontId="6" fillId="0" borderId="0" xfId="0" applyFont="1" applyAlignment="1">
      <alignment horizontal="left" vertical="center"/>
    </xf>
    <xf numFmtId="0" fontId="0" fillId="0" borderId="0" xfId="0" applyAlignment="1">
      <alignment horizontal="left"/>
    </xf>
    <xf numFmtId="0" fontId="32" fillId="0" borderId="0" xfId="0" applyFont="1" applyAlignment="1">
      <alignment horizontal="center"/>
    </xf>
    <xf numFmtId="0" fontId="0" fillId="0" borderId="9" xfId="0" applyBorder="1" applyAlignment="1">
      <alignment horizontal="center"/>
    </xf>
    <xf numFmtId="0" fontId="32" fillId="0" borderId="6" xfId="0" applyFont="1" applyBorder="1" applyAlignment="1">
      <alignment horizontal="left"/>
    </xf>
    <xf numFmtId="0" fontId="32" fillId="0" borderId="15" xfId="0" applyFont="1" applyBorder="1" applyAlignment="1">
      <alignment horizontal="left"/>
    </xf>
    <xf numFmtId="0" fontId="32" fillId="0" borderId="7" xfId="0" applyFont="1" applyBorder="1" applyAlignment="1">
      <alignment horizontal="left"/>
    </xf>
    <xf numFmtId="0" fontId="0" fillId="0" borderId="0" xfId="0" applyAlignment="1">
      <alignment horizontal="center" wrapText="1"/>
    </xf>
    <xf numFmtId="0" fontId="32" fillId="0" borderId="0" xfId="0" applyFont="1" applyAlignment="1">
      <alignment horizontal="center" wrapText="1"/>
    </xf>
    <xf numFmtId="0" fontId="9" fillId="9" borderId="46" xfId="0" applyFont="1" applyFill="1" applyBorder="1" applyAlignment="1">
      <alignment horizontal="left" vertical="center" wrapText="1"/>
    </xf>
    <xf numFmtId="0" fontId="9" fillId="9" borderId="26" xfId="0" applyFont="1" applyFill="1" applyBorder="1" applyAlignment="1">
      <alignment horizontal="left" vertical="center" wrapText="1"/>
    </xf>
    <xf numFmtId="0" fontId="9" fillId="9" borderId="30" xfId="0" applyFont="1" applyFill="1" applyBorder="1" applyAlignment="1">
      <alignment horizontal="left" vertical="center" wrapText="1"/>
    </xf>
    <xf numFmtId="0" fontId="55" fillId="0" borderId="0" xfId="0" applyFont="1" applyAlignment="1">
      <alignment horizontal="left" vertical="top" wrapText="1"/>
    </xf>
    <xf numFmtId="0" fontId="5" fillId="0" borderId="41" xfId="0" applyFont="1" applyBorder="1" applyAlignment="1">
      <alignment horizontal="left" vertical="top" wrapText="1"/>
    </xf>
    <xf numFmtId="0" fontId="5" fillId="0" borderId="0" xfId="0" applyFont="1" applyAlignment="1">
      <alignment horizontal="left" vertical="top" wrapText="1"/>
    </xf>
    <xf numFmtId="0" fontId="5" fillId="0" borderId="31" xfId="0" applyFont="1" applyBorder="1" applyAlignment="1">
      <alignment horizontal="left" vertical="top" wrapText="1"/>
    </xf>
    <xf numFmtId="0" fontId="5" fillId="0" borderId="40" xfId="0" applyFont="1" applyBorder="1" applyAlignment="1">
      <alignment horizontal="left" vertical="top" wrapText="1"/>
    </xf>
    <xf numFmtId="0" fontId="5" fillId="0" borderId="33" xfId="0" applyFont="1" applyBorder="1" applyAlignment="1">
      <alignment horizontal="left" vertical="top" wrapText="1"/>
    </xf>
    <xf numFmtId="0" fontId="5" fillId="0" borderId="38" xfId="0" applyFont="1" applyBorder="1" applyAlignment="1">
      <alignment horizontal="left" vertical="top" wrapText="1"/>
    </xf>
    <xf numFmtId="0" fontId="15" fillId="13" borderId="6" xfId="0" applyFont="1" applyFill="1" applyBorder="1" applyAlignment="1">
      <alignment horizontal="left" vertical="top"/>
    </xf>
    <xf numFmtId="0" fontId="15" fillId="13" borderId="15" xfId="0" applyFont="1" applyFill="1" applyBorder="1" applyAlignment="1">
      <alignment horizontal="left" vertical="top"/>
    </xf>
    <xf numFmtId="0" fontId="15" fillId="13" borderId="7" xfId="0" applyFont="1" applyFill="1" applyBorder="1" applyAlignment="1">
      <alignment horizontal="left" vertical="top"/>
    </xf>
    <xf numFmtId="0" fontId="9" fillId="13" borderId="10" xfId="0" applyFont="1" applyFill="1" applyBorder="1" applyAlignment="1">
      <alignment horizontal="left" vertical="top"/>
    </xf>
    <xf numFmtId="0" fontId="9" fillId="13" borderId="14" xfId="0" applyFont="1" applyFill="1" applyBorder="1" applyAlignment="1">
      <alignment horizontal="left" vertical="top"/>
    </xf>
    <xf numFmtId="0" fontId="9" fillId="13" borderId="11" xfId="0" applyFont="1" applyFill="1" applyBorder="1" applyAlignment="1">
      <alignment horizontal="left" vertical="top"/>
    </xf>
    <xf numFmtId="0" fontId="9" fillId="17" borderId="0" xfId="0" applyFont="1" applyFill="1" applyAlignment="1">
      <alignment horizontal="left" vertical="center" wrapText="1"/>
    </xf>
    <xf numFmtId="0" fontId="22" fillId="0" borderId="0" xfId="0" applyFont="1" applyAlignment="1">
      <alignment horizontal="left" vertical="center" wrapText="1"/>
    </xf>
    <xf numFmtId="0" fontId="5" fillId="9" borderId="46" xfId="0" applyFont="1" applyFill="1" applyBorder="1" applyAlignment="1">
      <alignment horizontal="left" vertical="center"/>
    </xf>
    <xf numFmtId="0" fontId="5" fillId="9" borderId="26" xfId="0" applyFont="1" applyFill="1" applyBorder="1" applyAlignment="1">
      <alignment horizontal="left" vertical="center"/>
    </xf>
    <xf numFmtId="0" fontId="5" fillId="9" borderId="30" xfId="0" applyFont="1" applyFill="1" applyBorder="1" applyAlignment="1">
      <alignment horizontal="left" vertical="center"/>
    </xf>
    <xf numFmtId="0" fontId="5" fillId="9" borderId="42" xfId="0" applyFont="1" applyFill="1" applyBorder="1" applyAlignment="1">
      <alignment horizontal="left" vertical="top" wrapText="1"/>
    </xf>
    <xf numFmtId="0" fontId="5" fillId="9" borderId="15" xfId="0" applyFont="1" applyFill="1" applyBorder="1" applyAlignment="1">
      <alignment horizontal="left" vertical="top" wrapText="1"/>
    </xf>
    <xf numFmtId="0" fontId="5" fillId="9" borderId="36" xfId="0" applyFont="1" applyFill="1" applyBorder="1" applyAlignment="1">
      <alignment horizontal="left" vertical="top" wrapText="1"/>
    </xf>
    <xf numFmtId="0" fontId="5" fillId="9" borderId="40" xfId="0" applyFont="1" applyFill="1" applyBorder="1" applyAlignment="1">
      <alignment horizontal="left" vertical="top" wrapText="1"/>
    </xf>
    <xf numFmtId="0" fontId="5" fillId="9" borderId="33" xfId="0" applyFont="1" applyFill="1" applyBorder="1" applyAlignment="1">
      <alignment horizontal="left" vertical="top" wrapText="1"/>
    </xf>
    <xf numFmtId="0" fontId="5" fillId="9" borderId="38" xfId="0" applyFont="1" applyFill="1" applyBorder="1" applyAlignment="1">
      <alignment horizontal="left" vertical="top" wrapText="1"/>
    </xf>
    <xf numFmtId="0" fontId="5" fillId="13" borderId="2" xfId="0" applyFont="1" applyFill="1" applyBorder="1" applyAlignment="1">
      <alignment horizontal="left" vertical="top" wrapText="1"/>
    </xf>
    <xf numFmtId="0" fontId="5" fillId="13" borderId="4" xfId="0" applyFont="1" applyFill="1" applyBorder="1" applyAlignment="1">
      <alignment horizontal="left" vertical="top"/>
    </xf>
    <xf numFmtId="0" fontId="5" fillId="13" borderId="5" xfId="0" applyFont="1" applyFill="1" applyBorder="1" applyAlignment="1">
      <alignment horizontal="left" vertical="top"/>
    </xf>
    <xf numFmtId="0" fontId="5" fillId="7" borderId="2" xfId="0" applyFont="1" applyFill="1" applyBorder="1" applyAlignment="1">
      <alignment horizontal="left" vertical="center" indent="4"/>
    </xf>
    <xf numFmtId="0" fontId="5" fillId="7" borderId="4" xfId="0" applyFont="1" applyFill="1" applyBorder="1" applyAlignment="1">
      <alignment horizontal="left" vertical="center" indent="4"/>
    </xf>
    <xf numFmtId="0" fontId="5" fillId="7" borderId="5" xfId="0" applyFont="1" applyFill="1" applyBorder="1" applyAlignment="1">
      <alignment horizontal="left" vertical="center" indent="4"/>
    </xf>
    <xf numFmtId="164" fontId="0" fillId="12" borderId="2" xfId="0" applyNumberFormat="1" applyFill="1" applyBorder="1" applyAlignment="1">
      <alignment horizontal="center"/>
    </xf>
    <xf numFmtId="164" fontId="0" fillId="12" borderId="4" xfId="0" applyNumberFormat="1" applyFill="1" applyBorder="1" applyAlignment="1">
      <alignment horizontal="center"/>
    </xf>
    <xf numFmtId="0" fontId="32" fillId="0" borderId="0" xfId="0" applyFont="1" applyAlignment="1">
      <alignment horizontal="left"/>
    </xf>
    <xf numFmtId="0" fontId="0" fillId="0" borderId="26" xfId="0" applyBorder="1" applyAlignment="1">
      <alignment horizontal="center"/>
    </xf>
    <xf numFmtId="0" fontId="32" fillId="12" borderId="0" xfId="0" applyFont="1" applyFill="1" applyAlignment="1">
      <alignment horizontal="center"/>
    </xf>
    <xf numFmtId="0" fontId="56" fillId="0" borderId="0" xfId="0" applyFont="1" applyAlignment="1">
      <alignment horizontal="left" vertical="center"/>
    </xf>
    <xf numFmtId="0" fontId="18" fillId="0" borderId="0" xfId="0" applyFont="1" applyAlignment="1">
      <alignment horizontal="center" vertical="center"/>
    </xf>
    <xf numFmtId="14" fontId="9" fillId="7" borderId="57" xfId="0" applyNumberFormat="1" applyFont="1" applyFill="1" applyBorder="1" applyAlignment="1" applyProtection="1">
      <alignment horizontal="left" vertical="center"/>
      <protection locked="0"/>
    </xf>
    <xf numFmtId="14" fontId="9" fillId="7" borderId="16" xfId="0" applyNumberFormat="1" applyFont="1" applyFill="1" applyBorder="1" applyAlignment="1" applyProtection="1">
      <alignment horizontal="left" vertical="center"/>
      <protection locked="0"/>
    </xf>
    <xf numFmtId="0" fontId="5" fillId="9" borderId="17" xfId="0" applyFont="1" applyFill="1" applyBorder="1" applyAlignment="1">
      <alignment horizontal="left" vertical="center"/>
    </xf>
    <xf numFmtId="0" fontId="5" fillId="9" borderId="23" xfId="0" applyFont="1" applyFill="1" applyBorder="1" applyAlignment="1">
      <alignment horizontal="left" vertical="center"/>
    </xf>
    <xf numFmtId="0" fontId="8" fillId="0" borderId="33" xfId="0" applyFont="1" applyBorder="1" applyAlignment="1">
      <alignment horizontal="left" vertical="center"/>
    </xf>
    <xf numFmtId="0" fontId="5" fillId="9" borderId="56" xfId="0" applyFont="1" applyFill="1" applyBorder="1" applyAlignment="1">
      <alignment horizontal="left" vertical="center"/>
    </xf>
    <xf numFmtId="0" fontId="5" fillId="9" borderId="32" xfId="0" applyFont="1" applyFill="1" applyBorder="1" applyAlignment="1">
      <alignment horizontal="left" vertical="center"/>
    </xf>
    <xf numFmtId="0" fontId="26" fillId="0" borderId="41" xfId="0" applyFont="1" applyBorder="1" applyAlignment="1">
      <alignment horizontal="left" vertical="center"/>
    </xf>
    <xf numFmtId="0" fontId="26" fillId="0" borderId="0" xfId="0" applyFont="1" applyAlignment="1">
      <alignment horizontal="left" vertical="center"/>
    </xf>
    <xf numFmtId="0" fontId="57" fillId="0" borderId="0" xfId="0" applyFont="1" applyAlignment="1">
      <alignment horizontal="left" vertical="top" wrapText="1"/>
    </xf>
    <xf numFmtId="0" fontId="5" fillId="7" borderId="57" xfId="0" applyFont="1" applyFill="1" applyBorder="1" applyAlignment="1">
      <alignment horizontal="left" vertical="center" wrapText="1"/>
    </xf>
    <xf numFmtId="0" fontId="5" fillId="7" borderId="16" xfId="0" applyFont="1" applyFill="1" applyBorder="1" applyAlignment="1">
      <alignment horizontal="left" vertical="center" wrapText="1"/>
    </xf>
    <xf numFmtId="0" fontId="5" fillId="7" borderId="34" xfId="0" applyFont="1" applyFill="1" applyBorder="1" applyAlignment="1">
      <alignment horizontal="left" vertical="center" wrapText="1"/>
    </xf>
    <xf numFmtId="0" fontId="5" fillId="7" borderId="35" xfId="0" applyFont="1" applyFill="1" applyBorder="1" applyAlignment="1">
      <alignment horizontal="left" vertical="center" wrapText="1"/>
    </xf>
    <xf numFmtId="0" fontId="5" fillId="7" borderId="33" xfId="0" applyFont="1" applyFill="1" applyBorder="1" applyAlignment="1">
      <alignment horizontal="left" vertical="center" wrapText="1"/>
    </xf>
    <xf numFmtId="0" fontId="5" fillId="7" borderId="38" xfId="0" applyFont="1" applyFill="1" applyBorder="1" applyAlignment="1">
      <alignment horizontal="left" vertical="center" wrapText="1"/>
    </xf>
    <xf numFmtId="164" fontId="5" fillId="5" borderId="2" xfId="0" applyNumberFormat="1" applyFont="1" applyFill="1" applyBorder="1" applyAlignment="1" applyProtection="1">
      <alignment horizontal="center" vertical="center"/>
      <protection locked="0"/>
    </xf>
    <xf numFmtId="164" fontId="5" fillId="5" borderId="4" xfId="0" applyNumberFormat="1" applyFont="1" applyFill="1" applyBorder="1" applyAlignment="1" applyProtection="1">
      <alignment horizontal="center" vertical="center"/>
      <protection locked="0"/>
    </xf>
    <xf numFmtId="14" fontId="7" fillId="0" borderId="0" xfId="0" applyNumberFormat="1" applyFont="1" applyAlignment="1">
      <alignment horizontal="center"/>
    </xf>
    <xf numFmtId="0" fontId="7" fillId="0" borderId="0" xfId="0" applyFont="1" applyAlignment="1">
      <alignment horizontal="center"/>
    </xf>
    <xf numFmtId="7" fontId="5" fillId="0" borderId="2" xfId="0" applyNumberFormat="1" applyFont="1" applyBorder="1" applyAlignment="1">
      <alignment horizontal="center" vertical="center"/>
    </xf>
    <xf numFmtId="7" fontId="5" fillId="0" borderId="28" xfId="0" applyNumberFormat="1" applyFont="1" applyBorder="1" applyAlignment="1">
      <alignment horizontal="center" vertical="center"/>
    </xf>
    <xf numFmtId="7" fontId="5" fillId="0" borderId="20" xfId="0" applyNumberFormat="1" applyFont="1" applyBorder="1" applyAlignment="1">
      <alignment horizontal="center" vertical="center"/>
    </xf>
    <xf numFmtId="7" fontId="5" fillId="0" borderId="29" xfId="0" applyNumberFormat="1" applyFont="1" applyBorder="1" applyAlignment="1">
      <alignment horizontal="center" vertical="center"/>
    </xf>
    <xf numFmtId="0" fontId="9" fillId="7" borderId="6" xfId="0" applyFont="1" applyFill="1" applyBorder="1" applyAlignment="1" applyProtection="1">
      <alignment horizontal="center" vertical="center" wrapText="1"/>
      <protection locked="0"/>
    </xf>
    <xf numFmtId="0" fontId="9" fillId="7" borderId="15" xfId="0" applyFont="1" applyFill="1" applyBorder="1" applyAlignment="1" applyProtection="1">
      <alignment horizontal="center" vertical="center" wrapText="1"/>
      <protection locked="0"/>
    </xf>
    <xf numFmtId="0" fontId="9" fillId="7" borderId="36"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9" fillId="7" borderId="33" xfId="0" applyFont="1" applyFill="1" applyBorder="1" applyAlignment="1" applyProtection="1">
      <alignment horizontal="center" vertical="center" wrapText="1"/>
      <protection locked="0"/>
    </xf>
    <xf numFmtId="0" fontId="9" fillId="7" borderId="38" xfId="0" applyFont="1" applyFill="1" applyBorder="1" applyAlignment="1" applyProtection="1">
      <alignment horizontal="center" vertical="center" wrapText="1"/>
      <protection locked="0"/>
    </xf>
    <xf numFmtId="39" fontId="5" fillId="9" borderId="19" xfId="1" applyNumberFormat="1" applyFont="1" applyFill="1" applyBorder="1" applyAlignment="1">
      <alignment horizontal="center" vertical="center"/>
    </xf>
    <xf numFmtId="39" fontId="5" fillId="9" borderId="26" xfId="1" applyNumberFormat="1" applyFont="1" applyFill="1" applyBorder="1" applyAlignment="1">
      <alignment horizontal="center" vertical="center"/>
    </xf>
    <xf numFmtId="39" fontId="5" fillId="9" borderId="30" xfId="1" applyNumberFormat="1" applyFont="1" applyFill="1" applyBorder="1" applyAlignment="1">
      <alignment horizontal="center" vertical="center"/>
    </xf>
    <xf numFmtId="0" fontId="11" fillId="0" borderId="0" xfId="0" applyFont="1" applyAlignment="1">
      <alignment horizontal="center"/>
    </xf>
    <xf numFmtId="164" fontId="5" fillId="5" borderId="20" xfId="0" applyNumberFormat="1" applyFont="1" applyFill="1" applyBorder="1" applyAlignment="1" applyProtection="1">
      <alignment horizontal="center" vertical="center"/>
      <protection locked="0"/>
    </xf>
    <xf numFmtId="164" fontId="5" fillId="5" borderId="25" xfId="0" applyNumberFormat="1" applyFont="1" applyFill="1" applyBorder="1" applyAlignment="1" applyProtection="1">
      <alignment horizontal="center" vertical="center"/>
      <protection locked="0"/>
    </xf>
    <xf numFmtId="164" fontId="5" fillId="0" borderId="27"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5" fillId="9" borderId="39"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5" fillId="9" borderId="41"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40"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7" borderId="42" xfId="0" applyFont="1" applyFill="1" applyBorder="1" applyAlignment="1" applyProtection="1">
      <alignment horizontal="center" vertical="center" wrapText="1"/>
      <protection locked="0"/>
    </xf>
    <xf numFmtId="0" fontId="5" fillId="7" borderId="15" xfId="0" applyFont="1" applyFill="1" applyBorder="1" applyAlignment="1" applyProtection="1">
      <alignment horizontal="center" vertical="center" wrapText="1"/>
      <protection locked="0"/>
    </xf>
    <xf numFmtId="0" fontId="5" fillId="7" borderId="36" xfId="0" applyFont="1" applyFill="1" applyBorder="1" applyAlignment="1" applyProtection="1">
      <alignment horizontal="center" vertical="center" wrapText="1"/>
      <protection locked="0"/>
    </xf>
    <xf numFmtId="0" fontId="5" fillId="7" borderId="40" xfId="0" applyFont="1" applyFill="1" applyBorder="1" applyAlignment="1" applyProtection="1">
      <alignment horizontal="center" vertical="center" wrapText="1"/>
      <protection locked="0"/>
    </xf>
    <xf numFmtId="0" fontId="5" fillId="7" borderId="33" xfId="0" applyFont="1" applyFill="1" applyBorder="1" applyAlignment="1" applyProtection="1">
      <alignment horizontal="center" vertical="center" wrapText="1"/>
      <protection locked="0"/>
    </xf>
    <xf numFmtId="0" fontId="5" fillId="7" borderId="38" xfId="0" applyFont="1" applyFill="1" applyBorder="1" applyAlignment="1" applyProtection="1">
      <alignment horizontal="center" vertical="center" wrapText="1"/>
      <protection locked="0"/>
    </xf>
    <xf numFmtId="39" fontId="5" fillId="9" borderId="39" xfId="1" applyNumberFormat="1" applyFont="1" applyFill="1" applyBorder="1" applyAlignment="1">
      <alignment horizontal="center" vertical="center"/>
    </xf>
    <xf numFmtId="39" fontId="5" fillId="9" borderId="34" xfId="1" applyNumberFormat="1" applyFont="1" applyFill="1" applyBorder="1" applyAlignment="1">
      <alignment horizontal="center" vertical="center"/>
    </xf>
    <xf numFmtId="39" fontId="5" fillId="9" borderId="35" xfId="1"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0" borderId="13" xfId="0" applyNumberFormat="1" applyFont="1" applyBorder="1" applyAlignment="1">
      <alignment horizontal="center" vertical="center"/>
    </xf>
    <xf numFmtId="0" fontId="5" fillId="0" borderId="41" xfId="0" applyFont="1" applyBorder="1" applyAlignment="1">
      <alignment horizontal="center" vertical="center"/>
    </xf>
    <xf numFmtId="0" fontId="26" fillId="0" borderId="0" xfId="0" applyFont="1" applyAlignment="1" applyProtection="1">
      <alignment horizontal="center" vertical="center"/>
      <protection hidden="1"/>
    </xf>
    <xf numFmtId="0" fontId="21" fillId="8" borderId="2" xfId="0" applyFont="1" applyFill="1" applyBorder="1" applyAlignment="1">
      <alignment horizontal="center" vertical="center"/>
    </xf>
    <xf numFmtId="0" fontId="21" fillId="8" borderId="28" xfId="0" applyFont="1" applyFill="1" applyBorder="1" applyAlignment="1">
      <alignment horizontal="center" vertical="center"/>
    </xf>
    <xf numFmtId="0" fontId="5" fillId="13" borderId="6" xfId="0" applyFont="1" applyFill="1" applyBorder="1" applyAlignment="1">
      <alignment horizontal="left" vertical="center" wrapText="1"/>
    </xf>
    <xf numFmtId="0" fontId="5" fillId="13" borderId="15" xfId="0" applyFont="1" applyFill="1" applyBorder="1" applyAlignment="1">
      <alignment horizontal="left" vertical="center" wrapText="1"/>
    </xf>
    <xf numFmtId="0" fontId="5" fillId="13" borderId="7" xfId="0" applyFont="1" applyFill="1" applyBorder="1" applyAlignment="1">
      <alignment horizontal="left" vertical="center" wrapText="1"/>
    </xf>
    <xf numFmtId="0" fontId="4" fillId="13" borderId="10" xfId="2" applyFill="1" applyBorder="1" applyAlignment="1" applyProtection="1">
      <alignment horizontal="left" vertical="top"/>
      <protection locked="0" hidden="1"/>
    </xf>
    <xf numFmtId="0" fontId="4" fillId="13" borderId="14" xfId="2" applyFill="1" applyBorder="1" applyAlignment="1" applyProtection="1">
      <alignment horizontal="left" vertical="top"/>
      <protection locked="0" hidden="1"/>
    </xf>
    <xf numFmtId="0" fontId="5" fillId="9" borderId="19" xfId="0" applyFont="1" applyFill="1" applyBorder="1" applyAlignment="1">
      <alignment horizontal="center" vertical="center"/>
    </xf>
    <xf numFmtId="0" fontId="5" fillId="9" borderId="30" xfId="0"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9" borderId="49" xfId="0" applyFont="1" applyFill="1" applyBorder="1" applyAlignment="1">
      <alignment horizontal="center" vertical="center"/>
    </xf>
    <xf numFmtId="0" fontId="5" fillId="9" borderId="34" xfId="0" applyFont="1" applyFill="1" applyBorder="1" applyAlignment="1">
      <alignment horizontal="center" vertical="center"/>
    </xf>
    <xf numFmtId="0" fontId="5" fillId="9" borderId="50" xfId="0" applyFont="1" applyFill="1" applyBorder="1" applyAlignment="1">
      <alignment horizontal="center" vertical="center"/>
    </xf>
    <xf numFmtId="0" fontId="5" fillId="9" borderId="22" xfId="0" applyFont="1" applyFill="1" applyBorder="1" applyAlignment="1">
      <alignment horizontal="left" vertical="center"/>
    </xf>
    <xf numFmtId="0" fontId="5" fillId="9" borderId="13" xfId="0" applyFont="1" applyFill="1" applyBorder="1" applyAlignment="1">
      <alignment horizontal="left" vertical="center"/>
    </xf>
    <xf numFmtId="164" fontId="5" fillId="5" borderId="5" xfId="0" applyNumberFormat="1" applyFont="1" applyFill="1" applyBorder="1" applyAlignment="1" applyProtection="1">
      <alignment horizontal="center" vertical="center"/>
      <protection locked="0"/>
    </xf>
    <xf numFmtId="164" fontId="5" fillId="0" borderId="4" xfId="0" applyNumberFormat="1" applyFont="1" applyBorder="1" applyAlignment="1">
      <alignment horizontal="center" vertical="center"/>
    </xf>
    <xf numFmtId="164" fontId="5" fillId="0" borderId="28" xfId="0" applyNumberFormat="1" applyFont="1" applyBorder="1" applyAlignment="1">
      <alignment horizontal="center" vertical="center"/>
    </xf>
    <xf numFmtId="164" fontId="5" fillId="5" borderId="27" xfId="0" applyNumberFormat="1" applyFont="1" applyFill="1" applyBorder="1" applyAlignment="1" applyProtection="1">
      <alignment horizontal="center" vertical="center"/>
      <protection locked="0"/>
    </xf>
    <xf numFmtId="0" fontId="5" fillId="9" borderId="21" xfId="0" applyFont="1" applyFill="1" applyBorder="1" applyAlignment="1">
      <alignment horizontal="left" vertical="center"/>
    </xf>
    <xf numFmtId="0" fontId="5" fillId="9" borderId="1" xfId="0" applyFont="1" applyFill="1" applyBorder="1" applyAlignment="1">
      <alignment horizontal="left" vertical="center"/>
    </xf>
    <xf numFmtId="164" fontId="5" fillId="0" borderId="14" xfId="0" applyNumberFormat="1" applyFont="1" applyBorder="1" applyAlignment="1">
      <alignment horizontal="center" vertical="center"/>
    </xf>
    <xf numFmtId="164" fontId="5" fillId="0" borderId="55" xfId="0" applyNumberFormat="1" applyFont="1" applyBorder="1" applyAlignment="1">
      <alignment horizontal="center" vertical="center"/>
    </xf>
    <xf numFmtId="0" fontId="8" fillId="9" borderId="46" xfId="0" applyFont="1" applyFill="1" applyBorder="1" applyAlignment="1">
      <alignment horizontal="left" vertical="center"/>
    </xf>
    <xf numFmtId="0" fontId="8" fillId="9" borderId="30" xfId="0" applyFont="1" applyFill="1" applyBorder="1" applyAlignment="1">
      <alignment horizontal="left" vertical="center"/>
    </xf>
    <xf numFmtId="0" fontId="8" fillId="0" borderId="0" xfId="0" applyFont="1" applyAlignment="1">
      <alignment horizontal="left"/>
    </xf>
    <xf numFmtId="164" fontId="5" fillId="0" borderId="15" xfId="0" applyNumberFormat="1" applyFont="1" applyBorder="1" applyAlignment="1">
      <alignment horizontal="center" vertical="center"/>
    </xf>
    <xf numFmtId="0" fontId="5" fillId="9" borderId="26" xfId="0" applyFont="1" applyFill="1" applyBorder="1" applyAlignment="1">
      <alignment horizontal="center" vertical="center"/>
    </xf>
    <xf numFmtId="164" fontId="5" fillId="7" borderId="2" xfId="0" applyNumberFormat="1" applyFont="1" applyFill="1" applyBorder="1" applyAlignment="1" applyProtection="1">
      <alignment horizontal="center" vertical="center"/>
      <protection locked="0"/>
    </xf>
    <xf numFmtId="164" fontId="5" fillId="7" borderId="4" xfId="0" applyNumberFormat="1" applyFont="1" applyFill="1" applyBorder="1" applyAlignment="1" applyProtection="1">
      <alignment horizontal="center" vertical="center"/>
      <protection locked="0"/>
    </xf>
    <xf numFmtId="0" fontId="5" fillId="0" borderId="0" xfId="0" applyFont="1" applyAlignment="1">
      <alignment horizontal="left" vertical="center" wrapText="1"/>
    </xf>
    <xf numFmtId="0" fontId="5" fillId="9" borderId="24" xfId="0" applyFont="1" applyFill="1" applyBorder="1" applyAlignment="1">
      <alignment horizontal="center" vertical="center"/>
    </xf>
    <xf numFmtId="164" fontId="5" fillId="7" borderId="5" xfId="0" applyNumberFormat="1" applyFont="1" applyFill="1" applyBorder="1" applyAlignment="1" applyProtection="1">
      <alignment horizontal="center" vertical="center"/>
      <protection locked="0"/>
    </xf>
    <xf numFmtId="0" fontId="9" fillId="9" borderId="26" xfId="0" applyFont="1" applyFill="1" applyBorder="1" applyAlignment="1">
      <alignment horizontal="center" vertical="center"/>
    </xf>
    <xf numFmtId="0" fontId="9" fillId="9" borderId="30" xfId="0" applyFont="1" applyFill="1" applyBorder="1" applyAlignment="1">
      <alignment horizontal="center" vertical="center"/>
    </xf>
    <xf numFmtId="0" fontId="8" fillId="9" borderId="24" xfId="0" applyFont="1" applyFill="1" applyBorder="1" applyAlignment="1">
      <alignment horizontal="left" vertical="center"/>
    </xf>
    <xf numFmtId="168" fontId="9" fillId="5" borderId="1" xfId="0" applyNumberFormat="1" applyFont="1" applyFill="1" applyBorder="1" applyAlignment="1" applyProtection="1">
      <alignment horizontal="center" vertical="center"/>
      <protection locked="0"/>
    </xf>
    <xf numFmtId="168" fontId="9" fillId="5" borderId="2" xfId="0" applyNumberFormat="1" applyFont="1" applyFill="1" applyBorder="1" applyAlignment="1" applyProtection="1">
      <alignment horizontal="center" vertical="center"/>
      <protection locked="0"/>
    </xf>
    <xf numFmtId="0" fontId="9" fillId="0" borderId="25" xfId="0" applyFont="1" applyBorder="1" applyAlignment="1" applyProtection="1">
      <alignment horizontal="right" vertical="top" wrapText="1"/>
      <protection hidden="1"/>
    </xf>
    <xf numFmtId="0" fontId="9" fillId="0" borderId="13" xfId="0" applyFont="1" applyBorder="1" applyAlignment="1" applyProtection="1">
      <alignment horizontal="right" vertical="top" wrapText="1"/>
      <protection hidden="1"/>
    </xf>
    <xf numFmtId="164" fontId="69" fillId="8" borderId="2" xfId="0" applyNumberFormat="1" applyFont="1" applyFill="1" applyBorder="1" applyAlignment="1" applyProtection="1">
      <alignment horizontal="left" vertical="center" wrapText="1"/>
      <protection hidden="1"/>
    </xf>
    <xf numFmtId="164" fontId="69" fillId="8" borderId="4" xfId="0" applyNumberFormat="1" applyFont="1" applyFill="1" applyBorder="1" applyAlignment="1" applyProtection="1">
      <alignment horizontal="left" vertical="center"/>
      <protection hidden="1"/>
    </xf>
    <xf numFmtId="164" fontId="69" fillId="8" borderId="5" xfId="0" applyNumberFormat="1" applyFont="1" applyFill="1" applyBorder="1" applyAlignment="1" applyProtection="1">
      <alignment horizontal="left" vertical="center"/>
      <protection hidden="1"/>
    </xf>
    <xf numFmtId="14"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0" fontId="5" fillId="7" borderId="33" xfId="0" applyFont="1" applyFill="1" applyBorder="1" applyAlignment="1" applyProtection="1">
      <alignment horizontal="left" vertical="center" wrapText="1"/>
      <protection hidden="1"/>
    </xf>
    <xf numFmtId="0" fontId="5" fillId="7" borderId="38" xfId="0" applyFont="1" applyFill="1" applyBorder="1" applyAlignment="1" applyProtection="1">
      <alignment horizontal="left" vertical="center" wrapText="1"/>
      <protection hidden="1"/>
    </xf>
    <xf numFmtId="0" fontId="11" fillId="0" borderId="0" xfId="0" applyFont="1" applyAlignment="1">
      <alignment horizontal="center" vertical="center"/>
    </xf>
    <xf numFmtId="0" fontId="9" fillId="0" borderId="0" xfId="0" applyFont="1" applyAlignment="1" applyProtection="1">
      <alignment horizontal="center"/>
      <protection hidden="1"/>
    </xf>
    <xf numFmtId="0" fontId="9" fillId="13" borderId="2" xfId="0" applyFont="1" applyFill="1" applyBorder="1" applyAlignment="1" applyProtection="1">
      <alignment horizontal="left" vertical="top" wrapText="1"/>
      <protection hidden="1"/>
    </xf>
    <xf numFmtId="0" fontId="9" fillId="13" borderId="4" xfId="0" applyFont="1" applyFill="1" applyBorder="1" applyAlignment="1" applyProtection="1">
      <alignment horizontal="left" vertical="top"/>
      <protection hidden="1"/>
    </xf>
    <xf numFmtId="0" fontId="9" fillId="13" borderId="5" xfId="0" applyFont="1" applyFill="1" applyBorder="1" applyAlignment="1" applyProtection="1">
      <alignment horizontal="left" vertical="top"/>
      <protection hidden="1"/>
    </xf>
    <xf numFmtId="0" fontId="26" fillId="0" borderId="0" xfId="0" applyFont="1" applyAlignment="1" applyProtection="1">
      <alignment horizontal="left" wrapText="1"/>
      <protection hidden="1"/>
    </xf>
    <xf numFmtId="0" fontId="15" fillId="0" borderId="1" xfId="0" applyFont="1" applyBorder="1" applyAlignment="1" applyProtection="1">
      <alignment horizontal="center" vertical="center" wrapText="1"/>
      <protection hidden="1"/>
    </xf>
    <xf numFmtId="0" fontId="72" fillId="0" borderId="0" xfId="0" applyFont="1" applyAlignment="1" applyProtection="1">
      <alignment horizontal="center" wrapText="1"/>
      <protection hidden="1"/>
    </xf>
    <xf numFmtId="0" fontId="69" fillId="8" borderId="1" xfId="0" applyFont="1" applyFill="1" applyBorder="1" applyAlignment="1" applyProtection="1">
      <alignment vertical="center" wrapText="1"/>
      <protection hidden="1"/>
    </xf>
    <xf numFmtId="0" fontId="9" fillId="0" borderId="1" xfId="0" applyFont="1" applyBorder="1" applyAlignment="1" applyProtection="1">
      <alignment vertical="center" wrapText="1"/>
      <protection hidden="1"/>
    </xf>
    <xf numFmtId="0" fontId="9" fillId="18" borderId="49" xfId="0" applyFont="1" applyFill="1" applyBorder="1" applyAlignment="1" applyProtection="1">
      <alignment horizontal="center" vertical="center" wrapText="1"/>
      <protection hidden="1"/>
    </xf>
    <xf numFmtId="0" fontId="9" fillId="18" borderId="34" xfId="0" applyFont="1" applyFill="1" applyBorder="1" applyAlignment="1" applyProtection="1">
      <alignment horizontal="center" vertical="center" wrapText="1"/>
      <protection hidden="1"/>
    </xf>
    <xf numFmtId="0" fontId="9" fillId="18" borderId="10" xfId="0" applyFont="1" applyFill="1" applyBorder="1" applyAlignment="1" applyProtection="1">
      <alignment horizontal="center" vertical="center" wrapText="1"/>
      <protection hidden="1"/>
    </xf>
    <xf numFmtId="0" fontId="9" fillId="18" borderId="14" xfId="0" applyFont="1" applyFill="1" applyBorder="1" applyAlignment="1" applyProtection="1">
      <alignment horizontal="center" vertical="center" wrapText="1"/>
      <protection hidden="1"/>
    </xf>
    <xf numFmtId="164" fontId="9" fillId="5" borderId="1" xfId="0" applyNumberFormat="1" applyFont="1" applyFill="1" applyBorder="1" applyAlignment="1" applyProtection="1">
      <alignment horizontal="center" vertical="center"/>
      <protection locked="0"/>
    </xf>
    <xf numFmtId="164" fontId="9" fillId="5" borderId="2" xfId="0" applyNumberFormat="1" applyFont="1" applyFill="1" applyBorder="1" applyAlignment="1" applyProtection="1">
      <alignment horizontal="center" vertical="center"/>
      <protection locked="0"/>
    </xf>
    <xf numFmtId="0" fontId="9" fillId="18" borderId="66" xfId="0" applyFont="1" applyFill="1" applyBorder="1" applyAlignment="1" applyProtection="1">
      <alignment horizontal="center" vertical="center" wrapText="1"/>
      <protection hidden="1"/>
    </xf>
    <xf numFmtId="0" fontId="9" fillId="18" borderId="52" xfId="0" applyFont="1" applyFill="1" applyBorder="1" applyAlignment="1" applyProtection="1">
      <alignment horizontal="center" vertical="center" wrapText="1"/>
      <protection hidden="1"/>
    </xf>
    <xf numFmtId="0" fontId="9" fillId="18" borderId="39" xfId="0" applyFont="1" applyFill="1" applyBorder="1" applyAlignment="1" applyProtection="1">
      <alignment horizontal="center" vertical="center"/>
      <protection hidden="1"/>
    </xf>
    <xf numFmtId="0" fontId="9" fillId="18" borderId="34" xfId="0" applyFont="1" applyFill="1" applyBorder="1" applyAlignment="1" applyProtection="1">
      <alignment horizontal="center" vertical="center"/>
      <protection hidden="1"/>
    </xf>
    <xf numFmtId="0" fontId="9" fillId="18" borderId="50" xfId="0" applyFont="1" applyFill="1" applyBorder="1" applyAlignment="1" applyProtection="1">
      <alignment horizontal="center" vertical="center"/>
      <protection hidden="1"/>
    </xf>
    <xf numFmtId="0" fontId="9" fillId="18" borderId="54" xfId="0" applyFont="1" applyFill="1" applyBorder="1" applyAlignment="1" applyProtection="1">
      <alignment horizontal="center" vertical="center"/>
      <protection hidden="1"/>
    </xf>
    <xf numFmtId="0" fontId="9" fillId="18" borderId="14" xfId="0" applyFont="1" applyFill="1" applyBorder="1" applyAlignment="1" applyProtection="1">
      <alignment horizontal="center" vertical="center"/>
      <protection hidden="1"/>
    </xf>
    <xf numFmtId="0" fontId="9" fillId="18" borderId="11" xfId="0" applyFont="1" applyFill="1" applyBorder="1" applyAlignment="1" applyProtection="1">
      <alignment horizontal="center" vertical="center"/>
      <protection hidden="1"/>
    </xf>
    <xf numFmtId="0" fontId="8" fillId="0" borderId="0" xfId="0" applyFont="1" applyAlignment="1" applyProtection="1">
      <alignment horizontal="left" wrapText="1"/>
      <protection hidden="1"/>
    </xf>
    <xf numFmtId="0" fontId="8" fillId="0" borderId="0" xfId="0" applyFont="1" applyAlignment="1" applyProtection="1">
      <alignment horizontal="left"/>
      <protection hidden="1"/>
    </xf>
    <xf numFmtId="0" fontId="4" fillId="17" borderId="0" xfId="2" applyFill="1" applyAlignment="1" applyProtection="1">
      <alignment horizontal="left" vertical="center"/>
      <protection hidden="1"/>
    </xf>
    <xf numFmtId="0" fontId="56" fillId="0" borderId="0" xfId="0" applyFont="1" applyAlignment="1" applyProtection="1">
      <alignment horizontal="left" vertical="center"/>
      <protection hidden="1"/>
    </xf>
    <xf numFmtId="0" fontId="56" fillId="0" borderId="9" xfId="0" applyFont="1" applyBorder="1" applyAlignment="1" applyProtection="1">
      <alignment horizontal="left" vertical="center"/>
      <protection hidden="1"/>
    </xf>
    <xf numFmtId="0" fontId="9" fillId="5" borderId="47"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0" fontId="8" fillId="13" borderId="6" xfId="0" applyFont="1" applyFill="1" applyBorder="1" applyAlignment="1" applyProtection="1">
      <alignment horizontal="left" vertical="top" wrapText="1"/>
      <protection hidden="1"/>
    </xf>
    <xf numFmtId="0" fontId="8" fillId="13" borderId="15" xfId="0" applyFont="1" applyFill="1" applyBorder="1" applyAlignment="1" applyProtection="1">
      <alignment horizontal="left" vertical="top" wrapText="1"/>
      <protection hidden="1"/>
    </xf>
    <xf numFmtId="0" fontId="8" fillId="13" borderId="7" xfId="0" applyFont="1" applyFill="1" applyBorder="1" applyAlignment="1" applyProtection="1">
      <alignment horizontal="left" vertical="top" wrapText="1"/>
      <protection hidden="1"/>
    </xf>
    <xf numFmtId="0" fontId="8" fillId="0" borderId="33" xfId="0" applyFont="1" applyBorder="1" applyAlignment="1" applyProtection="1">
      <alignment horizontal="left" vertical="center"/>
      <protection hidden="1"/>
    </xf>
    <xf numFmtId="0" fontId="5" fillId="13" borderId="10" xfId="0" applyFont="1" applyFill="1" applyBorder="1" applyAlignment="1" applyProtection="1">
      <alignment horizontal="left" vertical="center" wrapText="1"/>
      <protection hidden="1"/>
    </xf>
    <xf numFmtId="0" fontId="5" fillId="13" borderId="14" xfId="0" applyFont="1" applyFill="1" applyBorder="1" applyAlignment="1" applyProtection="1">
      <alignment horizontal="left" vertical="center" wrapText="1"/>
      <protection hidden="1"/>
    </xf>
    <xf numFmtId="0" fontId="5" fillId="13" borderId="11" xfId="0" applyFont="1" applyFill="1" applyBorder="1" applyAlignment="1" applyProtection="1">
      <alignment horizontal="left" vertical="center" wrapText="1"/>
      <protection hidden="1"/>
    </xf>
    <xf numFmtId="0" fontId="5" fillId="13" borderId="2" xfId="0" applyFont="1" applyFill="1" applyBorder="1" applyAlignment="1" applyProtection="1">
      <alignment horizontal="left" vertical="center" wrapText="1"/>
      <protection hidden="1"/>
    </xf>
    <xf numFmtId="0" fontId="5" fillId="13" borderId="4" xfId="0" applyFont="1" applyFill="1" applyBorder="1" applyAlignment="1" applyProtection="1">
      <alignment horizontal="left" vertical="center" wrapText="1"/>
      <protection hidden="1"/>
    </xf>
    <xf numFmtId="0" fontId="5" fillId="13" borderId="5" xfId="0" applyFont="1" applyFill="1" applyBorder="1" applyAlignment="1" applyProtection="1">
      <alignment horizontal="left" vertical="center" wrapText="1"/>
      <protection hidden="1"/>
    </xf>
    <xf numFmtId="0" fontId="8" fillId="0" borderId="33" xfId="0" applyFont="1" applyBorder="1" applyAlignment="1" applyProtection="1">
      <alignment horizontal="left" vertical="center" wrapText="1"/>
      <protection hidden="1"/>
    </xf>
    <xf numFmtId="0" fontId="8" fillId="0" borderId="0" xfId="0" applyFont="1" applyAlignment="1" applyProtection="1">
      <alignment horizontal="left" vertical="center"/>
      <protection hidden="1"/>
    </xf>
    <xf numFmtId="0" fontId="5" fillId="18" borderId="46" xfId="0" applyFont="1" applyFill="1" applyBorder="1" applyAlignment="1" applyProtection="1">
      <alignment vertical="center" wrapText="1"/>
      <protection hidden="1"/>
    </xf>
    <xf numFmtId="0" fontId="5" fillId="18" borderId="26" xfId="0" applyFont="1" applyFill="1" applyBorder="1" applyAlignment="1" applyProtection="1">
      <alignment vertical="center" wrapText="1"/>
      <protection hidden="1"/>
    </xf>
    <xf numFmtId="0" fontId="9" fillId="5" borderId="51" xfId="0" applyFont="1" applyFill="1" applyBorder="1" applyAlignment="1" applyProtection="1">
      <alignment horizontal="left" vertical="center" wrapText="1"/>
      <protection locked="0"/>
    </xf>
    <xf numFmtId="0" fontId="9" fillId="5" borderId="27" xfId="0" applyFont="1" applyFill="1" applyBorder="1" applyAlignment="1" applyProtection="1">
      <alignment horizontal="left" vertical="center" wrapText="1"/>
      <protection locked="0"/>
    </xf>
    <xf numFmtId="0" fontId="9" fillId="5" borderId="25" xfId="0" applyFont="1" applyFill="1" applyBorder="1" applyAlignment="1" applyProtection="1">
      <alignment horizontal="left" vertical="center" wrapText="1"/>
      <protection locked="0"/>
    </xf>
    <xf numFmtId="0" fontId="5" fillId="18" borderId="46" xfId="0" applyFont="1" applyFill="1" applyBorder="1" applyAlignment="1" applyProtection="1">
      <alignment horizontal="left" vertical="center" wrapText="1"/>
      <protection hidden="1"/>
    </xf>
    <xf numFmtId="0" fontId="5" fillId="18" borderId="26" xfId="0" applyFont="1" applyFill="1" applyBorder="1" applyAlignment="1" applyProtection="1">
      <alignment horizontal="left" vertical="center" wrapText="1"/>
      <protection hidden="1"/>
    </xf>
    <xf numFmtId="0" fontId="5" fillId="18" borderId="24" xfId="0" applyFont="1" applyFill="1" applyBorder="1" applyAlignment="1" applyProtection="1">
      <alignment horizontal="left" vertical="center" wrapText="1"/>
      <protection hidden="1"/>
    </xf>
    <xf numFmtId="0" fontId="5" fillId="7" borderId="57" xfId="0" applyFont="1" applyFill="1" applyBorder="1" applyAlignment="1" applyProtection="1">
      <alignment horizontal="left" vertical="center" wrapText="1"/>
      <protection hidden="1"/>
    </xf>
    <xf numFmtId="0" fontId="5" fillId="7" borderId="16" xfId="0" applyFont="1" applyFill="1" applyBorder="1" applyAlignment="1" applyProtection="1">
      <alignment horizontal="left" vertical="center" wrapText="1"/>
      <protection hidden="1"/>
    </xf>
    <xf numFmtId="164" fontId="67" fillId="0" borderId="14" xfId="0" applyNumberFormat="1" applyFont="1" applyBorder="1" applyAlignment="1" applyProtection="1">
      <alignment horizontal="center" vertical="top" wrapText="1"/>
      <protection hidden="1"/>
    </xf>
    <xf numFmtId="0" fontId="68" fillId="0" borderId="2" xfId="0" applyFont="1" applyBorder="1" applyAlignment="1" applyProtection="1">
      <alignment horizontal="left" vertical="center" wrapText="1"/>
      <protection hidden="1"/>
    </xf>
    <xf numFmtId="0" fontId="68" fillId="0" borderId="4" xfId="0" applyFont="1" applyBorder="1" applyAlignment="1" applyProtection="1">
      <alignment horizontal="left" vertical="center" wrapText="1"/>
      <protection hidden="1"/>
    </xf>
    <xf numFmtId="0" fontId="5" fillId="0" borderId="47"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164" fontId="9" fillId="5" borderId="37" xfId="1" applyNumberFormat="1" applyFont="1" applyFill="1" applyBorder="1" applyAlignment="1" applyProtection="1">
      <alignment horizontal="center" vertical="center"/>
      <protection locked="0"/>
    </xf>
    <xf numFmtId="164" fontId="9" fillId="5" borderId="33" xfId="1" applyNumberFormat="1" applyFont="1" applyFill="1" applyBorder="1" applyAlignment="1" applyProtection="1">
      <alignment horizontal="center" vertical="center"/>
      <protection locked="0"/>
    </xf>
    <xf numFmtId="0" fontId="5" fillId="9" borderId="46" xfId="0" applyFont="1" applyFill="1" applyBorder="1" applyAlignment="1" applyProtection="1">
      <alignment vertical="center" wrapText="1"/>
      <protection hidden="1"/>
    </xf>
    <xf numFmtId="0" fontId="5" fillId="9" borderId="24" xfId="0" applyFont="1" applyFill="1" applyBorder="1" applyAlignment="1" applyProtection="1">
      <alignment vertical="center" wrapText="1"/>
      <protection hidden="1"/>
    </xf>
    <xf numFmtId="0" fontId="5" fillId="0" borderId="40" xfId="0" applyFont="1" applyBorder="1" applyAlignment="1" applyProtection="1">
      <alignment vertical="center" wrapText="1"/>
      <protection hidden="1"/>
    </xf>
    <xf numFmtId="0" fontId="5" fillId="0" borderId="53" xfId="0" applyFont="1" applyBorder="1" applyAlignment="1" applyProtection="1">
      <alignment vertical="center" wrapText="1"/>
      <protection hidden="1"/>
    </xf>
    <xf numFmtId="164" fontId="9" fillId="5" borderId="2" xfId="1" applyNumberFormat="1" applyFont="1" applyFill="1" applyBorder="1" applyAlignment="1" applyProtection="1">
      <alignment horizontal="center" vertical="center"/>
      <protection locked="0"/>
    </xf>
    <xf numFmtId="164" fontId="9" fillId="5" borderId="4" xfId="1" applyNumberFormat="1" applyFont="1" applyFill="1" applyBorder="1" applyAlignment="1" applyProtection="1">
      <alignment horizontal="center" vertical="center"/>
      <protection locked="0"/>
    </xf>
    <xf numFmtId="0" fontId="5" fillId="9" borderId="19" xfId="0" applyFont="1" applyFill="1" applyBorder="1" applyAlignment="1" applyProtection="1">
      <alignment horizontal="center" vertical="center" wrapText="1"/>
      <protection hidden="1"/>
    </xf>
    <xf numFmtId="0" fontId="5" fillId="9" borderId="26" xfId="0" applyFont="1" applyFill="1" applyBorder="1" applyAlignment="1" applyProtection="1">
      <alignment horizontal="center" vertical="center" wrapText="1"/>
      <protection hidden="1"/>
    </xf>
    <xf numFmtId="0" fontId="5" fillId="9" borderId="26" xfId="0" applyFont="1" applyFill="1" applyBorder="1" applyAlignment="1" applyProtection="1">
      <alignment vertical="center" wrapText="1"/>
      <protection hidden="1"/>
    </xf>
    <xf numFmtId="0" fontId="8" fillId="0" borderId="0" xfId="0" applyFont="1" applyAlignment="1">
      <alignment horizontal="left" vertical="center"/>
    </xf>
    <xf numFmtId="0" fontId="5" fillId="9" borderId="46" xfId="0" applyFont="1" applyFill="1" applyBorder="1" applyAlignment="1" applyProtection="1">
      <alignment horizontal="left" vertical="center" wrapText="1"/>
      <protection hidden="1"/>
    </xf>
    <xf numFmtId="0" fontId="5" fillId="9" borderId="26" xfId="0" applyFont="1" applyFill="1" applyBorder="1" applyAlignment="1" applyProtection="1">
      <alignment horizontal="left" vertical="center" wrapText="1"/>
      <protection hidden="1"/>
    </xf>
    <xf numFmtId="0" fontId="5" fillId="9" borderId="24" xfId="0" applyFont="1" applyFill="1" applyBorder="1" applyAlignment="1" applyProtection="1">
      <alignment horizontal="left" vertical="center" wrapText="1"/>
      <protection hidden="1"/>
    </xf>
    <xf numFmtId="0" fontId="5" fillId="13" borderId="8" xfId="0" applyFont="1" applyFill="1" applyBorder="1" applyAlignment="1" applyProtection="1">
      <alignment horizontal="left" vertical="top" wrapText="1"/>
      <protection hidden="1"/>
    </xf>
    <xf numFmtId="0" fontId="5" fillId="13" borderId="0" xfId="0" applyFont="1" applyFill="1" applyAlignment="1" applyProtection="1">
      <alignment horizontal="left" vertical="top" wrapText="1"/>
      <protection hidden="1"/>
    </xf>
    <xf numFmtId="0" fontId="5" fillId="13" borderId="9" xfId="0" applyFont="1" applyFill="1" applyBorder="1" applyAlignment="1" applyProtection="1">
      <alignment horizontal="left" vertical="top" wrapText="1"/>
      <protection hidden="1"/>
    </xf>
    <xf numFmtId="0" fontId="9" fillId="0" borderId="34" xfId="0" applyFont="1" applyBorder="1" applyAlignment="1" applyProtection="1">
      <alignment horizontal="left" vertical="top" wrapText="1"/>
      <protection hidden="1"/>
    </xf>
    <xf numFmtId="0" fontId="5" fillId="13" borderId="4" xfId="0" applyFont="1" applyFill="1" applyBorder="1" applyAlignment="1" applyProtection="1">
      <alignment horizontal="left" vertical="center"/>
      <protection hidden="1"/>
    </xf>
    <xf numFmtId="0" fontId="5" fillId="13" borderId="5" xfId="0" applyFont="1" applyFill="1" applyBorder="1" applyAlignment="1" applyProtection="1">
      <alignment horizontal="left" vertical="center"/>
      <protection hidden="1"/>
    </xf>
    <xf numFmtId="0" fontId="47" fillId="13" borderId="10" xfId="2" applyFont="1" applyFill="1" applyBorder="1" applyAlignment="1" applyProtection="1">
      <alignment horizontal="left" vertical="top" wrapText="1"/>
      <protection locked="0"/>
    </xf>
    <xf numFmtId="0" fontId="47" fillId="13" borderId="14" xfId="2" applyFont="1" applyFill="1" applyBorder="1" applyAlignment="1" applyProtection="1">
      <alignment horizontal="left" vertical="top" wrapText="1"/>
      <protection locked="0"/>
    </xf>
    <xf numFmtId="0" fontId="47" fillId="13" borderId="11" xfId="2" applyFont="1" applyFill="1" applyBorder="1" applyAlignment="1" applyProtection="1">
      <alignment horizontal="left" vertical="top" wrapText="1"/>
      <protection locked="0"/>
    </xf>
    <xf numFmtId="0" fontId="8" fillId="0" borderId="0" xfId="0" applyFont="1" applyAlignment="1" applyProtection="1">
      <alignment vertical="center"/>
      <protection hidden="1"/>
    </xf>
    <xf numFmtId="164" fontId="9" fillId="0" borderId="20" xfId="0" applyNumberFormat="1" applyFont="1" applyBorder="1" applyAlignment="1" applyProtection="1">
      <alignment horizontal="center" vertical="center" wrapText="1"/>
      <protection hidden="1"/>
    </xf>
    <xf numFmtId="164" fontId="9" fillId="0" borderId="29" xfId="0" applyNumberFormat="1" applyFont="1" applyBorder="1" applyAlignment="1" applyProtection="1">
      <alignment horizontal="center" vertical="center" wrapText="1"/>
      <protection hidden="1"/>
    </xf>
    <xf numFmtId="0" fontId="8" fillId="0" borderId="0" xfId="0" applyFont="1" applyAlignment="1" applyProtection="1">
      <alignment horizontal="left" vertical="center" wrapText="1"/>
      <protection hidden="1"/>
    </xf>
    <xf numFmtId="0" fontId="5" fillId="9" borderId="19" xfId="0" applyFont="1" applyFill="1" applyBorder="1" applyAlignment="1" applyProtection="1">
      <alignment horizontal="center" vertical="center"/>
      <protection hidden="1"/>
    </xf>
    <xf numFmtId="0" fontId="5" fillId="9" borderId="30" xfId="0" applyFont="1" applyFill="1" applyBorder="1" applyAlignment="1" applyProtection="1">
      <alignment horizontal="center" vertical="center"/>
      <protection hidden="1"/>
    </xf>
    <xf numFmtId="0" fontId="9" fillId="13" borderId="10" xfId="0" applyFont="1" applyFill="1" applyBorder="1" applyAlignment="1" applyProtection="1">
      <alignment horizontal="left" vertical="top" wrapText="1"/>
      <protection hidden="1"/>
    </xf>
    <xf numFmtId="0" fontId="10" fillId="13" borderId="14" xfId="0" applyFont="1" applyFill="1" applyBorder="1" applyAlignment="1" applyProtection="1">
      <alignment horizontal="left" vertical="top" wrapText="1"/>
      <protection hidden="1"/>
    </xf>
    <xf numFmtId="0" fontId="10" fillId="13" borderId="11" xfId="0" applyFont="1" applyFill="1" applyBorder="1" applyAlignment="1" applyProtection="1">
      <alignment horizontal="left" vertical="top" wrapText="1"/>
      <protection hidden="1"/>
    </xf>
    <xf numFmtId="0" fontId="5" fillId="13" borderId="6" xfId="0" applyFont="1" applyFill="1" applyBorder="1" applyAlignment="1" applyProtection="1">
      <alignment horizontal="left" vertical="top" wrapText="1"/>
      <protection hidden="1"/>
    </xf>
    <xf numFmtId="0" fontId="5" fillId="13" borderId="15" xfId="0" applyFont="1" applyFill="1" applyBorder="1" applyAlignment="1" applyProtection="1">
      <alignment horizontal="left" vertical="top" wrapText="1"/>
      <protection hidden="1"/>
    </xf>
    <xf numFmtId="0" fontId="5" fillId="13" borderId="7" xfId="0" applyFont="1" applyFill="1" applyBorder="1" applyAlignment="1" applyProtection="1">
      <alignment horizontal="left" vertical="top" wrapText="1"/>
      <protection hidden="1"/>
    </xf>
    <xf numFmtId="0" fontId="15" fillId="13" borderId="6" xfId="0" applyFont="1" applyFill="1" applyBorder="1" applyAlignment="1" applyProtection="1">
      <alignment horizontal="left" vertical="center" wrapText="1"/>
      <protection hidden="1"/>
    </xf>
    <xf numFmtId="0" fontId="15" fillId="13" borderId="15" xfId="0" applyFont="1" applyFill="1" applyBorder="1" applyAlignment="1" applyProtection="1">
      <alignment horizontal="left" vertical="center" wrapText="1"/>
      <protection hidden="1"/>
    </xf>
    <xf numFmtId="0" fontId="15" fillId="13" borderId="7" xfId="0" applyFont="1" applyFill="1" applyBorder="1" applyAlignment="1" applyProtection="1">
      <alignment horizontal="left" vertical="center" wrapText="1"/>
      <protection hidden="1"/>
    </xf>
    <xf numFmtId="0" fontId="9" fillId="0" borderId="0" xfId="0" applyFont="1" applyAlignment="1" applyProtection="1">
      <alignment horizontal="left" vertical="top" wrapText="1"/>
      <protection hidden="1"/>
    </xf>
    <xf numFmtId="0" fontId="5" fillId="0" borderId="51" xfId="0" applyFont="1" applyBorder="1" applyAlignment="1" applyProtection="1">
      <alignment vertical="center" wrapText="1"/>
      <protection hidden="1"/>
    </xf>
    <xf numFmtId="0" fontId="5" fillId="0" borderId="25" xfId="0" applyFont="1" applyBorder="1" applyAlignment="1" applyProtection="1">
      <alignment vertical="center" wrapText="1"/>
      <protection hidden="1"/>
    </xf>
    <xf numFmtId="164" fontId="9" fillId="5" borderId="20" xfId="1" applyNumberFormat="1" applyFont="1" applyFill="1" applyBorder="1" applyAlignment="1" applyProtection="1">
      <alignment horizontal="center" vertical="center"/>
      <protection locked="0"/>
    </xf>
    <xf numFmtId="164" fontId="9" fillId="5" borderId="27" xfId="1" applyNumberFormat="1" applyFont="1" applyFill="1" applyBorder="1" applyAlignment="1" applyProtection="1">
      <alignment horizontal="center" vertical="center"/>
      <protection locked="0"/>
    </xf>
    <xf numFmtId="164" fontId="9" fillId="5" borderId="5" xfId="1" applyNumberFormat="1" applyFont="1" applyFill="1" applyBorder="1" applyAlignment="1" applyProtection="1">
      <alignment horizontal="center" vertical="center"/>
      <protection locked="0"/>
    </xf>
    <xf numFmtId="0" fontId="5" fillId="0" borderId="51" xfId="0" applyFont="1" applyBorder="1" applyAlignment="1">
      <alignment horizontal="left" wrapText="1"/>
    </xf>
    <xf numFmtId="0" fontId="5" fillId="0" borderId="25" xfId="0" applyFont="1" applyBorder="1" applyAlignment="1">
      <alignment horizontal="left" wrapText="1"/>
    </xf>
    <xf numFmtId="0" fontId="5" fillId="0" borderId="20" xfId="0" applyFont="1" applyBorder="1" applyAlignment="1">
      <alignment horizontal="left" vertical="center" wrapText="1"/>
    </xf>
    <xf numFmtId="0" fontId="5" fillId="0" borderId="25" xfId="0" applyFont="1" applyBorder="1" applyAlignment="1">
      <alignment horizontal="left" vertical="center" wrapText="1"/>
    </xf>
    <xf numFmtId="164" fontId="9" fillId="5" borderId="25" xfId="1" applyNumberFormat="1" applyFont="1" applyFill="1" applyBorder="1" applyAlignment="1" applyProtection="1">
      <alignment horizontal="center" vertical="center"/>
      <protection locked="0"/>
    </xf>
    <xf numFmtId="0" fontId="5" fillId="5" borderId="34" xfId="0" applyFont="1" applyFill="1" applyBorder="1" applyAlignment="1">
      <alignment horizontal="left" vertical="center" wrapText="1"/>
    </xf>
    <xf numFmtId="0" fontId="5" fillId="5" borderId="35"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8" xfId="0" applyFont="1" applyFill="1" applyBorder="1" applyAlignment="1">
      <alignment horizontal="left" vertical="center" wrapText="1"/>
    </xf>
    <xf numFmtId="0" fontId="5" fillId="0" borderId="0" xfId="0" applyFont="1" applyAlignment="1">
      <alignment horizontal="left"/>
    </xf>
    <xf numFmtId="0" fontId="14" fillId="5" borderId="3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5" fillId="5" borderId="27" xfId="0" applyFont="1" applyFill="1" applyBorder="1" applyAlignment="1" applyProtection="1">
      <alignment horizontal="left" vertical="center"/>
      <protection locked="0"/>
    </xf>
    <xf numFmtId="0" fontId="5" fillId="5" borderId="25" xfId="0" applyFont="1" applyFill="1" applyBorder="1" applyAlignment="1" applyProtection="1">
      <alignment horizontal="left" vertical="center"/>
      <protection locked="0"/>
    </xf>
    <xf numFmtId="14" fontId="7" fillId="0" borderId="0" xfId="0" applyNumberFormat="1" applyFont="1" applyAlignment="1">
      <alignment horizontal="center" wrapText="1"/>
    </xf>
    <xf numFmtId="0" fontId="7" fillId="0" borderId="0" xfId="0" applyFont="1" applyAlignment="1">
      <alignment horizontal="center" wrapText="1"/>
    </xf>
    <xf numFmtId="0" fontId="5" fillId="9" borderId="19" xfId="0" applyFont="1" applyFill="1" applyBorder="1" applyAlignment="1">
      <alignment horizontal="left" vertical="center" wrapText="1"/>
    </xf>
    <xf numFmtId="0" fontId="5" fillId="9" borderId="24"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9" borderId="46" xfId="0" applyFont="1" applyFill="1" applyBorder="1" applyAlignment="1">
      <alignment horizontal="left" vertical="center" wrapText="1"/>
    </xf>
    <xf numFmtId="0" fontId="5" fillId="0" borderId="47" xfId="0" applyFont="1" applyBorder="1" applyAlignment="1">
      <alignment horizontal="left" wrapText="1"/>
    </xf>
    <xf numFmtId="0" fontId="5" fillId="0" borderId="5" xfId="0" applyFont="1" applyBorder="1" applyAlignment="1">
      <alignment horizontal="left" wrapText="1"/>
    </xf>
    <xf numFmtId="0" fontId="5" fillId="9" borderId="19"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5" fillId="10" borderId="0" xfId="0" applyFont="1" applyFill="1" applyAlignment="1">
      <alignment horizontal="left" vertical="center" wrapText="1"/>
    </xf>
    <xf numFmtId="0" fontId="5" fillId="10" borderId="0" xfId="0" applyFont="1" applyFill="1" applyAlignment="1">
      <alignment horizontal="left" vertical="center"/>
    </xf>
    <xf numFmtId="0" fontId="13" fillId="0" borderId="0" xfId="0" applyFont="1" applyAlignment="1">
      <alignment horizontal="left"/>
    </xf>
    <xf numFmtId="0" fontId="5" fillId="13" borderId="2" xfId="0" applyFont="1" applyFill="1" applyBorder="1" applyAlignment="1">
      <alignment horizontal="left" vertical="center" wrapText="1"/>
    </xf>
    <xf numFmtId="0" fontId="5" fillId="13" borderId="4" xfId="0" applyFont="1" applyFill="1" applyBorder="1" applyAlignment="1">
      <alignment horizontal="left" vertical="center" wrapText="1"/>
    </xf>
    <xf numFmtId="0" fontId="5" fillId="13" borderId="5" xfId="0" applyFont="1" applyFill="1" applyBorder="1" applyAlignment="1">
      <alignment horizontal="left" vertical="center" wrapText="1"/>
    </xf>
    <xf numFmtId="0" fontId="5" fillId="0" borderId="15" xfId="0" applyFont="1" applyBorder="1" applyAlignment="1">
      <alignment horizontal="left" vertical="center" wrapText="1"/>
    </xf>
    <xf numFmtId="0" fontId="5" fillId="5" borderId="0" xfId="0" applyFont="1" applyFill="1" applyAlignment="1">
      <alignment horizontal="left" vertical="center" wrapText="1"/>
    </xf>
    <xf numFmtId="0" fontId="5" fillId="5" borderId="31" xfId="0" applyFont="1" applyFill="1" applyBorder="1" applyAlignment="1">
      <alignment horizontal="left" vertical="center" wrapText="1"/>
    </xf>
    <xf numFmtId="0" fontId="5" fillId="9" borderId="14" xfId="0" applyFont="1" applyFill="1" applyBorder="1" applyAlignment="1">
      <alignment horizontal="left" vertical="center"/>
    </xf>
    <xf numFmtId="0" fontId="5" fillId="9" borderId="11" xfId="0" applyFont="1" applyFill="1" applyBorder="1" applyAlignment="1">
      <alignment horizontal="left" vertical="center"/>
    </xf>
    <xf numFmtId="0" fontId="5" fillId="5" borderId="4" xfId="0" applyFont="1" applyFill="1" applyBorder="1" applyAlignment="1" applyProtection="1">
      <alignment horizontal="left" vertical="center"/>
      <protection locked="0"/>
    </xf>
    <xf numFmtId="0" fontId="5" fillId="5" borderId="5" xfId="0" applyFont="1" applyFill="1" applyBorder="1" applyAlignment="1" applyProtection="1">
      <alignment horizontal="left" vertical="center"/>
      <protection locked="0"/>
    </xf>
    <xf numFmtId="0" fontId="5" fillId="5" borderId="39" xfId="0" applyFont="1" applyFill="1" applyBorder="1" applyAlignment="1">
      <alignment horizontal="left" vertical="center" wrapText="1"/>
    </xf>
    <xf numFmtId="0" fontId="5" fillId="5" borderId="41" xfId="0" applyFont="1" applyFill="1" applyBorder="1" applyAlignment="1">
      <alignment horizontal="left" vertical="center" wrapText="1"/>
    </xf>
    <xf numFmtId="0" fontId="5" fillId="5" borderId="40" xfId="0" applyFont="1" applyFill="1" applyBorder="1" applyAlignment="1">
      <alignment horizontal="left" vertical="center" wrapText="1"/>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5" fillId="5" borderId="15" xfId="0"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9" xfId="0" applyFont="1" applyBorder="1" applyAlignment="1">
      <alignment horizontal="center" vertical="center"/>
    </xf>
    <xf numFmtId="164" fontId="9" fillId="5" borderId="6" xfId="0" applyNumberFormat="1" applyFont="1" applyFill="1" applyBorder="1" applyAlignment="1" applyProtection="1">
      <alignment horizontal="left" vertical="center"/>
      <protection locked="0"/>
    </xf>
    <xf numFmtId="164" fontId="9" fillId="5" borderId="15" xfId="0" applyNumberFormat="1" applyFont="1" applyFill="1" applyBorder="1" applyAlignment="1" applyProtection="1">
      <alignment horizontal="left" vertical="center"/>
      <protection locked="0"/>
    </xf>
    <xf numFmtId="164" fontId="9" fillId="5" borderId="5" xfId="0" applyNumberFormat="1" applyFont="1" applyFill="1" applyBorder="1" applyAlignment="1" applyProtection="1">
      <alignment horizontal="left" vertical="center"/>
      <protection locked="0"/>
    </xf>
    <xf numFmtId="0" fontId="5" fillId="9" borderId="14" xfId="0" applyFont="1" applyFill="1" applyBorder="1" applyAlignment="1">
      <alignment horizontal="left" vertical="center" wrapText="1"/>
    </xf>
    <xf numFmtId="0" fontId="5" fillId="9" borderId="11" xfId="0" applyFont="1" applyFill="1" applyBorder="1" applyAlignment="1">
      <alignment horizontal="left" vertical="center" wrapText="1"/>
    </xf>
    <xf numFmtId="0" fontId="5" fillId="0" borderId="4" xfId="0" applyFont="1" applyBorder="1" applyAlignment="1">
      <alignment horizontal="left" vertical="center" wrapText="1"/>
    </xf>
    <xf numFmtId="0" fontId="5" fillId="9" borderId="56" xfId="0" applyFont="1" applyFill="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5" fillId="9" borderId="32" xfId="0" applyFont="1" applyFill="1" applyBorder="1" applyAlignment="1" applyProtection="1">
      <alignment horizontal="center" vertical="center" wrapText="1"/>
      <protection hidden="1"/>
    </xf>
    <xf numFmtId="0" fontId="5" fillId="7" borderId="48" xfId="0" applyFont="1" applyFill="1" applyBorder="1" applyAlignment="1" applyProtection="1">
      <alignment horizontal="center" vertical="center"/>
      <protection locked="0"/>
    </xf>
    <xf numFmtId="0" fontId="5" fillId="7" borderId="57" xfId="0" applyFont="1" applyFill="1" applyBorder="1" applyAlignment="1" applyProtection="1">
      <alignment horizontal="center" vertical="center"/>
      <protection locked="0"/>
    </xf>
    <xf numFmtId="0" fontId="5" fillId="7" borderId="16" xfId="0" applyFont="1" applyFill="1" applyBorder="1" applyAlignment="1" applyProtection="1">
      <alignment horizontal="center" vertical="center"/>
      <protection locked="0"/>
    </xf>
    <xf numFmtId="0" fontId="5" fillId="0" borderId="0" xfId="0" applyFont="1" applyAlignment="1">
      <alignment horizontal="center" vertical="center"/>
    </xf>
    <xf numFmtId="0" fontId="14" fillId="5" borderId="47" xfId="0" applyFont="1" applyFill="1" applyBorder="1" applyAlignment="1" applyProtection="1">
      <alignment horizontal="center" vertical="center" wrapText="1"/>
      <protection hidden="1"/>
    </xf>
    <xf numFmtId="0" fontId="14" fillId="5" borderId="51" xfId="0" applyFont="1" applyFill="1" applyBorder="1" applyAlignment="1" applyProtection="1">
      <alignment horizontal="center" vertical="center" wrapText="1"/>
      <protection hidden="1"/>
    </xf>
    <xf numFmtId="0" fontId="5" fillId="5" borderId="39" xfId="0" applyFont="1" applyFill="1" applyBorder="1" applyAlignment="1" applyProtection="1">
      <alignment horizontal="left" vertical="center" wrapText="1"/>
      <protection hidden="1"/>
    </xf>
    <xf numFmtId="0" fontId="5" fillId="5" borderId="34" xfId="0" applyFont="1" applyFill="1" applyBorder="1" applyAlignment="1" applyProtection="1">
      <alignment horizontal="left" vertical="center" wrapText="1"/>
      <protection hidden="1"/>
    </xf>
    <xf numFmtId="0" fontId="5" fillId="5" borderId="35" xfId="0" applyFont="1" applyFill="1" applyBorder="1" applyAlignment="1" applyProtection="1">
      <alignment horizontal="left" vertical="center" wrapText="1"/>
      <protection hidden="1"/>
    </xf>
    <xf numFmtId="0" fontId="5" fillId="5" borderId="41" xfId="0" applyFont="1" applyFill="1" applyBorder="1" applyAlignment="1" applyProtection="1">
      <alignment horizontal="left" vertical="center" wrapText="1"/>
      <protection hidden="1"/>
    </xf>
    <xf numFmtId="0" fontId="5" fillId="5" borderId="0" xfId="0" applyFont="1" applyFill="1" applyAlignment="1" applyProtection="1">
      <alignment horizontal="left" vertical="center" wrapText="1"/>
      <protection hidden="1"/>
    </xf>
    <xf numFmtId="0" fontId="5" fillId="5" borderId="31" xfId="0" applyFont="1" applyFill="1" applyBorder="1" applyAlignment="1" applyProtection="1">
      <alignment horizontal="left" vertical="center" wrapText="1"/>
      <protection hidden="1"/>
    </xf>
    <xf numFmtId="0" fontId="5" fillId="5" borderId="54" xfId="0" applyFont="1" applyFill="1" applyBorder="1" applyAlignment="1" applyProtection="1">
      <alignment horizontal="left" vertical="center" wrapText="1"/>
      <protection hidden="1"/>
    </xf>
    <xf numFmtId="0" fontId="5" fillId="5" borderId="14" xfId="0" applyFont="1" applyFill="1" applyBorder="1" applyAlignment="1" applyProtection="1">
      <alignment horizontal="left" vertical="center" wrapText="1"/>
      <protection hidden="1"/>
    </xf>
    <xf numFmtId="0" fontId="5" fillId="5" borderId="55" xfId="0" applyFont="1" applyFill="1" applyBorder="1" applyAlignment="1" applyProtection="1">
      <alignment horizontal="left" vertical="center" wrapText="1"/>
      <protection hidden="1"/>
    </xf>
    <xf numFmtId="0" fontId="8" fillId="5" borderId="15" xfId="0" applyFont="1" applyFill="1" applyBorder="1" applyAlignment="1" applyProtection="1">
      <alignment vertical="center" wrapText="1"/>
      <protection hidden="1"/>
    </xf>
    <xf numFmtId="0" fontId="8" fillId="5" borderId="33" xfId="0" applyFont="1" applyFill="1" applyBorder="1" applyAlignment="1" applyProtection="1">
      <alignment vertical="center" wrapText="1"/>
      <protection hidden="1"/>
    </xf>
    <xf numFmtId="0" fontId="8" fillId="5" borderId="15" xfId="0" applyFont="1" applyFill="1" applyBorder="1" applyAlignment="1" applyProtection="1">
      <alignment horizontal="center" vertical="center" wrapText="1"/>
      <protection hidden="1"/>
    </xf>
    <xf numFmtId="0" fontId="8" fillId="5" borderId="33" xfId="0" applyFont="1" applyFill="1" applyBorder="1" applyAlignment="1" applyProtection="1">
      <alignment horizontal="center" vertical="center" wrapText="1"/>
      <protection hidden="1"/>
    </xf>
    <xf numFmtId="0" fontId="8" fillId="5" borderId="15" xfId="0" applyFont="1" applyFill="1" applyBorder="1" applyAlignment="1" applyProtection="1">
      <alignment horizontal="left" vertical="center" wrapText="1" indent="1"/>
      <protection hidden="1"/>
    </xf>
    <xf numFmtId="0" fontId="8" fillId="5" borderId="36" xfId="0" applyFont="1" applyFill="1" applyBorder="1" applyAlignment="1" applyProtection="1">
      <alignment horizontal="left" vertical="center" wrapText="1" indent="1"/>
      <protection hidden="1"/>
    </xf>
    <xf numFmtId="0" fontId="8" fillId="5" borderId="33" xfId="0" applyFont="1" applyFill="1" applyBorder="1" applyAlignment="1" applyProtection="1">
      <alignment horizontal="left" vertical="center" wrapText="1" indent="1"/>
      <protection hidden="1"/>
    </xf>
    <xf numFmtId="0" fontId="8" fillId="5" borderId="38" xfId="0" applyFont="1" applyFill="1" applyBorder="1" applyAlignment="1" applyProtection="1">
      <alignment horizontal="left" vertical="center" wrapText="1" indent="1"/>
      <protection hidden="1"/>
    </xf>
    <xf numFmtId="0" fontId="5" fillId="0" borderId="51" xfId="0" applyFont="1" applyBorder="1" applyAlignment="1" applyProtection="1">
      <alignment horizontal="left" vertical="center" wrapText="1"/>
      <protection hidden="1"/>
    </xf>
    <xf numFmtId="0" fontId="5" fillId="0" borderId="25" xfId="0" applyFont="1" applyBorder="1" applyAlignment="1" applyProtection="1">
      <alignment horizontal="left" vertical="center" wrapText="1"/>
      <protection hidden="1"/>
    </xf>
    <xf numFmtId="164" fontId="9" fillId="0" borderId="37" xfId="1" applyNumberFormat="1" applyFont="1" applyFill="1" applyBorder="1" applyAlignment="1" applyProtection="1">
      <alignment horizontal="center" vertical="center"/>
      <protection hidden="1"/>
    </xf>
    <xf numFmtId="164" fontId="9" fillId="0" borderId="33" xfId="1" applyNumberFormat="1" applyFont="1" applyFill="1" applyBorder="1" applyAlignment="1" applyProtection="1">
      <alignment horizontal="center" vertical="center"/>
      <protection hidden="1"/>
    </xf>
    <xf numFmtId="164" fontId="9" fillId="0" borderId="38" xfId="1" applyNumberFormat="1" applyFont="1" applyFill="1" applyBorder="1" applyAlignment="1" applyProtection="1">
      <alignment horizontal="center" vertical="center"/>
      <protection hidden="1"/>
    </xf>
    <xf numFmtId="0" fontId="5" fillId="9" borderId="30" xfId="0" applyFont="1" applyFill="1" applyBorder="1" applyAlignment="1" applyProtection="1">
      <alignment horizontal="center" vertical="center" wrapText="1"/>
      <protection hidden="1"/>
    </xf>
    <xf numFmtId="0" fontId="7" fillId="5" borderId="47" xfId="0" applyFont="1" applyFill="1" applyBorder="1" applyAlignment="1" applyProtection="1">
      <alignment horizontal="left" vertical="center" wrapText="1"/>
      <protection locked="0"/>
    </xf>
    <xf numFmtId="0" fontId="7" fillId="5" borderId="4" xfId="0" applyFont="1" applyFill="1" applyBorder="1" applyAlignment="1" applyProtection="1">
      <alignment horizontal="left" vertical="center" wrapText="1"/>
      <protection locked="0"/>
    </xf>
    <xf numFmtId="0" fontId="7" fillId="5" borderId="5" xfId="0" applyFont="1" applyFill="1" applyBorder="1" applyAlignment="1" applyProtection="1">
      <alignment horizontal="left" vertical="center" wrapText="1"/>
      <protection locked="0"/>
    </xf>
    <xf numFmtId="0" fontId="5" fillId="9" borderId="24" xfId="0" applyFont="1" applyFill="1" applyBorder="1" applyAlignment="1" applyProtection="1">
      <alignment horizontal="center" vertical="center" wrapText="1"/>
      <protection hidden="1"/>
    </xf>
    <xf numFmtId="164" fontId="5" fillId="5" borderId="2" xfId="0" applyNumberFormat="1" applyFont="1" applyFill="1" applyBorder="1" applyAlignment="1" applyProtection="1">
      <alignment horizontal="center" vertical="center" wrapText="1"/>
      <protection locked="0"/>
    </xf>
    <xf numFmtId="164" fontId="5" fillId="5" borderId="5" xfId="0" applyNumberFormat="1" applyFont="1" applyFill="1" applyBorder="1" applyAlignment="1" applyProtection="1">
      <alignment horizontal="center" vertical="center" wrapText="1"/>
      <protection locked="0"/>
    </xf>
    <xf numFmtId="164" fontId="5" fillId="5" borderId="4" xfId="0" applyNumberFormat="1" applyFont="1" applyFill="1" applyBorder="1" applyAlignment="1" applyProtection="1">
      <alignment horizontal="center" vertical="center" wrapText="1"/>
      <protection locked="0"/>
    </xf>
    <xf numFmtId="0" fontId="5" fillId="9" borderId="46" xfId="0" applyFont="1" applyFill="1" applyBorder="1" applyAlignment="1" applyProtection="1">
      <alignment horizontal="center" vertical="center" wrapText="1"/>
      <protection hidden="1"/>
    </xf>
    <xf numFmtId="164" fontId="15" fillId="0" borderId="34" xfId="0" applyNumberFormat="1" applyFont="1" applyBorder="1" applyAlignment="1" applyProtection="1">
      <alignment horizontal="center" vertical="center"/>
      <protection hidden="1"/>
    </xf>
    <xf numFmtId="0" fontId="9" fillId="5" borderId="57" xfId="0" applyFont="1" applyFill="1" applyBorder="1" applyAlignment="1" applyProtection="1">
      <alignment horizontal="right" vertical="center"/>
      <protection hidden="1"/>
    </xf>
    <xf numFmtId="0" fontId="15" fillId="5" borderId="57" xfId="0" applyFont="1" applyFill="1" applyBorder="1" applyAlignment="1" applyProtection="1">
      <alignment horizontal="center" vertical="center"/>
      <protection locked="0"/>
    </xf>
    <xf numFmtId="0" fontId="9" fillId="5" borderId="57" xfId="0" applyFont="1" applyFill="1" applyBorder="1" applyAlignment="1" applyProtection="1">
      <alignment horizontal="left" vertical="center"/>
      <protection hidden="1"/>
    </xf>
    <xf numFmtId="0" fontId="9" fillId="5" borderId="32" xfId="0" applyFont="1" applyFill="1" applyBorder="1" applyAlignment="1" applyProtection="1">
      <alignment horizontal="left" vertical="center"/>
      <protection hidden="1"/>
    </xf>
    <xf numFmtId="164" fontId="15" fillId="0" borderId="34" xfId="0" applyNumberFormat="1" applyFont="1" applyBorder="1" applyAlignment="1" applyProtection="1">
      <alignment horizontal="right" vertical="center"/>
      <protection hidden="1"/>
    </xf>
    <xf numFmtId="164" fontId="15" fillId="0" borderId="35" xfId="0" applyNumberFormat="1" applyFont="1" applyBorder="1" applyAlignment="1" applyProtection="1">
      <alignment horizontal="right" vertical="center"/>
      <protection hidden="1"/>
    </xf>
    <xf numFmtId="0" fontId="8" fillId="0" borderId="34" xfId="0" applyFont="1" applyBorder="1" applyAlignment="1" applyProtection="1">
      <alignment horizontal="center" vertical="center"/>
      <protection hidden="1"/>
    </xf>
    <xf numFmtId="0" fontId="7" fillId="5" borderId="51" xfId="0" applyFont="1" applyFill="1" applyBorder="1" applyAlignment="1" applyProtection="1">
      <alignment horizontal="left" vertical="center" wrapText="1"/>
      <protection locked="0"/>
    </xf>
    <xf numFmtId="0" fontId="7" fillId="5" borderId="27" xfId="0" applyFont="1" applyFill="1" applyBorder="1" applyAlignment="1" applyProtection="1">
      <alignment horizontal="left" vertical="center" wrapText="1"/>
      <protection locked="0"/>
    </xf>
    <xf numFmtId="0" fontId="7" fillId="5" borderId="25" xfId="0" applyFont="1" applyFill="1" applyBorder="1" applyAlignment="1" applyProtection="1">
      <alignment horizontal="left" vertical="center" wrapText="1"/>
      <protection locked="0"/>
    </xf>
    <xf numFmtId="0" fontId="22" fillId="0" borderId="0" xfId="0" applyFont="1" applyAlignment="1" applyProtection="1">
      <alignment horizontal="left" vertical="center"/>
      <protection hidden="1"/>
    </xf>
    <xf numFmtId="0" fontId="15" fillId="8" borderId="0" xfId="0" applyFont="1" applyFill="1" applyAlignment="1" applyProtection="1">
      <alignment horizontal="center" vertical="center"/>
      <protection hidden="1"/>
    </xf>
    <xf numFmtId="0" fontId="9" fillId="19" borderId="39" xfId="0" applyFont="1" applyFill="1" applyBorder="1" applyAlignment="1">
      <alignment horizontal="left" vertical="top" wrapText="1"/>
    </xf>
    <xf numFmtId="0" fontId="9" fillId="19" borderId="34" xfId="0" applyFont="1" applyFill="1" applyBorder="1" applyAlignment="1">
      <alignment horizontal="left" vertical="top"/>
    </xf>
    <xf numFmtId="0" fontId="9" fillId="19" borderId="35" xfId="0" applyFont="1" applyFill="1" applyBorder="1" applyAlignment="1">
      <alignment horizontal="left" vertical="top"/>
    </xf>
    <xf numFmtId="0" fontId="9" fillId="19" borderId="41" xfId="0" applyFont="1" applyFill="1" applyBorder="1" applyAlignment="1">
      <alignment horizontal="left" vertical="top"/>
    </xf>
    <xf numFmtId="0" fontId="9" fillId="19" borderId="0" xfId="0" applyFont="1" applyFill="1" applyAlignment="1">
      <alignment horizontal="left" vertical="top"/>
    </xf>
    <xf numFmtId="0" fontId="9" fillId="19" borderId="31" xfId="0" applyFont="1" applyFill="1" applyBorder="1" applyAlignment="1">
      <alignment horizontal="left" vertical="top"/>
    </xf>
    <xf numFmtId="0" fontId="9" fillId="19" borderId="40" xfId="0" applyFont="1" applyFill="1" applyBorder="1" applyAlignment="1">
      <alignment horizontal="left" vertical="top"/>
    </xf>
    <xf numFmtId="0" fontId="9" fillId="19" borderId="33" xfId="0" applyFont="1" applyFill="1" applyBorder="1" applyAlignment="1">
      <alignment horizontal="left" vertical="top"/>
    </xf>
    <xf numFmtId="0" fontId="9" fillId="19" borderId="38" xfId="0" applyFont="1" applyFill="1" applyBorder="1" applyAlignment="1">
      <alignment horizontal="left" vertical="top"/>
    </xf>
    <xf numFmtId="0" fontId="68" fillId="9" borderId="56" xfId="0" applyFont="1" applyFill="1" applyBorder="1" applyAlignment="1" applyProtection="1">
      <alignment horizontal="center" vertical="center" wrapText="1"/>
      <protection hidden="1"/>
    </xf>
    <xf numFmtId="0" fontId="9" fillId="9" borderId="57" xfId="0" applyFont="1" applyFill="1" applyBorder="1" applyAlignment="1" applyProtection="1">
      <alignment horizontal="center" vertical="center" wrapText="1"/>
      <protection hidden="1"/>
    </xf>
    <xf numFmtId="0" fontId="9" fillId="9" borderId="16" xfId="0" applyFont="1" applyFill="1" applyBorder="1" applyAlignment="1" applyProtection="1">
      <alignment horizontal="center" vertical="center" wrapText="1"/>
      <protection hidden="1"/>
    </xf>
    <xf numFmtId="0" fontId="5" fillId="17" borderId="0" xfId="0" applyFont="1" applyFill="1" applyAlignment="1">
      <alignment horizontal="left" vertical="center" wrapText="1"/>
    </xf>
    <xf numFmtId="0" fontId="6" fillId="0" borderId="0" xfId="0" applyFont="1"/>
    <xf numFmtId="0" fontId="8" fillId="0" borderId="51" xfId="0" applyFont="1" applyBorder="1" applyAlignment="1">
      <alignment horizontal="left" vertical="center"/>
    </xf>
    <xf numFmtId="0" fontId="8" fillId="0" borderId="27" xfId="0" applyFont="1" applyBorder="1" applyAlignment="1">
      <alignment horizontal="left" vertical="center"/>
    </xf>
    <xf numFmtId="0" fontId="5" fillId="0" borderId="47" xfId="0" applyFont="1" applyBorder="1" applyAlignment="1">
      <alignment horizontal="left" vertical="center"/>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8" fillId="13" borderId="2" xfId="0" applyFont="1" applyFill="1" applyBorder="1" applyAlignment="1" applyProtection="1">
      <alignment horizontal="center" vertical="center" wrapText="1"/>
      <protection hidden="1"/>
    </xf>
    <xf numFmtId="0" fontId="8" fillId="13" borderId="4" xfId="0" applyFont="1" applyFill="1" applyBorder="1" applyAlignment="1" applyProtection="1">
      <alignment horizontal="center" vertical="center" wrapText="1"/>
      <protection hidden="1"/>
    </xf>
    <xf numFmtId="0" fontId="8" fillId="13" borderId="5" xfId="0" applyFont="1" applyFill="1" applyBorder="1" applyAlignment="1" applyProtection="1">
      <alignment horizontal="center" vertical="center" wrapText="1"/>
      <protection hidden="1"/>
    </xf>
    <xf numFmtId="0" fontId="5" fillId="13" borderId="0" xfId="0" applyFont="1" applyFill="1" applyAlignment="1" applyProtection="1">
      <alignment horizontal="left" vertical="center" wrapText="1"/>
      <protection hidden="1"/>
    </xf>
    <xf numFmtId="0" fontId="43" fillId="0" borderId="0" xfId="0" applyFont="1" applyAlignment="1">
      <alignment horizontal="center" vertical="center"/>
    </xf>
    <xf numFmtId="0" fontId="6" fillId="0" borderId="14" xfId="0" applyFont="1" applyBorder="1"/>
    <xf numFmtId="0" fontId="26" fillId="0" borderId="0" xfId="0" applyFont="1" applyAlignment="1">
      <alignment horizontal="left" vertical="top" wrapText="1"/>
    </xf>
    <xf numFmtId="7" fontId="28" fillId="0" borderId="2" xfId="0" applyNumberFormat="1" applyFont="1" applyBorder="1" applyAlignment="1" applyProtection="1">
      <alignment horizontal="center" vertical="center"/>
      <protection hidden="1"/>
    </xf>
    <xf numFmtId="7" fontId="28" fillId="0" borderId="28" xfId="0" applyNumberFormat="1" applyFont="1" applyBorder="1" applyAlignment="1" applyProtection="1">
      <alignment horizontal="center" vertical="center"/>
      <protection hidden="1"/>
    </xf>
    <xf numFmtId="7" fontId="39" fillId="0" borderId="20" xfId="0" applyNumberFormat="1" applyFont="1" applyBorder="1" applyAlignment="1" applyProtection="1">
      <alignment horizontal="center" vertical="center"/>
      <protection hidden="1"/>
    </xf>
    <xf numFmtId="7" fontId="39" fillId="0" borderId="29" xfId="0" applyNumberFormat="1" applyFont="1" applyBorder="1" applyAlignment="1" applyProtection="1">
      <alignment horizontal="center" vertical="center"/>
      <protection hidden="1"/>
    </xf>
    <xf numFmtId="0" fontId="6" fillId="0" borderId="4" xfId="0" applyFont="1" applyBorder="1"/>
    <xf numFmtId="7" fontId="8" fillId="0" borderId="2" xfId="0" applyNumberFormat="1" applyFont="1" applyBorder="1" applyAlignment="1" applyProtection="1">
      <alignment horizontal="center" vertical="center" wrapText="1"/>
      <protection hidden="1"/>
    </xf>
    <xf numFmtId="7" fontId="8" fillId="0" borderId="28" xfId="0" applyNumberFormat="1" applyFont="1" applyBorder="1" applyAlignment="1" applyProtection="1">
      <alignment horizontal="center" vertical="center" wrapText="1"/>
      <protection hidden="1"/>
    </xf>
    <xf numFmtId="0" fontId="47" fillId="13" borderId="0" xfId="2" applyFont="1" applyFill="1" applyBorder="1" applyAlignment="1" applyProtection="1">
      <alignment horizontal="center" vertical="center"/>
      <protection hidden="1"/>
    </xf>
    <xf numFmtId="0" fontId="47" fillId="13" borderId="9" xfId="2" applyFont="1" applyFill="1" applyBorder="1" applyAlignment="1" applyProtection="1">
      <alignment horizontal="center" vertical="center"/>
      <protection hidden="1"/>
    </xf>
    <xf numFmtId="0" fontId="5" fillId="13" borderId="6" xfId="0" applyFont="1" applyFill="1" applyBorder="1" applyAlignment="1" applyProtection="1">
      <alignment horizontal="left" vertical="center"/>
      <protection hidden="1"/>
    </xf>
    <xf numFmtId="0" fontId="5" fillId="13" borderId="15" xfId="0" applyFont="1" applyFill="1" applyBorder="1" applyAlignment="1" applyProtection="1">
      <alignment horizontal="left" vertical="center"/>
      <protection hidden="1"/>
    </xf>
    <xf numFmtId="0" fontId="5" fillId="13" borderId="7" xfId="0" applyFont="1" applyFill="1" applyBorder="1" applyAlignment="1" applyProtection="1">
      <alignment horizontal="left" vertical="center"/>
      <protection hidden="1"/>
    </xf>
    <xf numFmtId="0" fontId="5" fillId="0" borderId="47" xfId="0" applyFont="1" applyBorder="1" applyAlignment="1">
      <alignment horizontal="left" vertical="center" wrapText="1"/>
    </xf>
    <xf numFmtId="0" fontId="5" fillId="0" borderId="4" xfId="0" applyFont="1" applyBorder="1" applyAlignment="1">
      <alignment vertical="center" wrapText="1"/>
    </xf>
    <xf numFmtId="0" fontId="5" fillId="0" borderId="15" xfId="0" applyFont="1" applyBorder="1" applyAlignment="1">
      <alignment horizontal="left" vertical="center"/>
    </xf>
    <xf numFmtId="7" fontId="8" fillId="0" borderId="2" xfId="0" applyNumberFormat="1" applyFont="1" applyBorder="1" applyAlignment="1" applyProtection="1">
      <alignment horizontal="center" vertical="center"/>
      <protection hidden="1"/>
    </xf>
    <xf numFmtId="7" fontId="8" fillId="0" borderId="28" xfId="0" applyNumberFormat="1" applyFont="1" applyBorder="1" applyAlignment="1" applyProtection="1">
      <alignment horizontal="center" vertical="center"/>
      <protection hidden="1"/>
    </xf>
    <xf numFmtId="7" fontId="9" fillId="0" borderId="2" xfId="0" applyNumberFormat="1" applyFont="1" applyBorder="1" applyAlignment="1" applyProtection="1">
      <alignment horizontal="center" vertical="center"/>
      <protection hidden="1"/>
    </xf>
    <xf numFmtId="7" fontId="9" fillId="0" borderId="28" xfId="0" applyNumberFormat="1" applyFont="1" applyBorder="1" applyAlignment="1" applyProtection="1">
      <alignment horizontal="center" vertical="center"/>
      <protection hidden="1"/>
    </xf>
    <xf numFmtId="0" fontId="9" fillId="18" borderId="19" xfId="0" applyFont="1" applyFill="1" applyBorder="1" applyAlignment="1">
      <alignment horizontal="center" vertical="center" wrapText="1"/>
    </xf>
    <xf numFmtId="0" fontId="9" fillId="18" borderId="30" xfId="0" applyFont="1" applyFill="1" applyBorder="1" applyAlignment="1">
      <alignment horizontal="center" vertical="center" wrapText="1"/>
    </xf>
    <xf numFmtId="0" fontId="4" fillId="17" borderId="0" xfId="2" applyFill="1" applyBorder="1" applyAlignment="1" applyProtection="1">
      <alignment horizontal="left" vertical="center"/>
    </xf>
    <xf numFmtId="0" fontId="15" fillId="0" borderId="33" xfId="0" applyFont="1" applyBorder="1" applyAlignment="1">
      <alignment horizontal="left" wrapText="1"/>
    </xf>
    <xf numFmtId="0" fontId="9" fillId="18" borderId="46" xfId="0" applyFont="1" applyFill="1" applyBorder="1" applyAlignment="1">
      <alignment horizontal="left" vertical="center" wrapText="1"/>
    </xf>
    <xf numFmtId="0" fontId="9" fillId="18" borderId="26" xfId="0" applyFont="1" applyFill="1" applyBorder="1" applyAlignment="1">
      <alignment horizontal="left" vertical="center" wrapText="1"/>
    </xf>
    <xf numFmtId="0" fontId="8" fillId="17" borderId="0" xfId="0" applyFont="1" applyFill="1" applyAlignment="1" applyProtection="1">
      <alignment horizontal="left" vertical="top" wrapText="1"/>
      <protection hidden="1"/>
    </xf>
    <xf numFmtId="0" fontId="9"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14" fontId="7" fillId="0" borderId="0" xfId="0" applyNumberFormat="1" applyFont="1" applyAlignment="1">
      <alignment horizontal="center" vertical="center"/>
    </xf>
    <xf numFmtId="0" fontId="7" fillId="0" borderId="0" xfId="0" applyFont="1" applyAlignment="1">
      <alignment horizontal="center" vertical="center"/>
    </xf>
    <xf numFmtId="0" fontId="5" fillId="0" borderId="1" xfId="0" applyFont="1" applyBorder="1" applyAlignment="1" applyProtection="1">
      <alignment horizontal="left" vertical="top" wrapText="1"/>
      <protection locked="0"/>
    </xf>
  </cellXfs>
  <cellStyles count="3">
    <cellStyle name="Link" xfId="2" builtinId="8"/>
    <cellStyle name="Standard" xfId="0" builtinId="0"/>
    <cellStyle name="Währung" xfId="1" builtinId="4"/>
  </cellStyles>
  <dxfs count="374">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rgb="FFFF0000"/>
      </font>
    </dxf>
    <dxf>
      <font>
        <color rgb="FFFF0000"/>
      </font>
    </dxf>
    <dxf>
      <font>
        <color rgb="FFFF0000"/>
      </font>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dxf>
    <dxf>
      <font>
        <color theme="0"/>
      </font>
    </dxf>
    <dxf>
      <font>
        <color rgb="FFFF0000"/>
      </font>
    </dxf>
    <dxf>
      <font>
        <color theme="0"/>
      </font>
    </dxf>
    <dxf>
      <fill>
        <patternFill>
          <bgColor rgb="FFEBF1DE"/>
        </patternFill>
      </fill>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ont>
        <color rgb="FFFF0000"/>
      </font>
      <fill>
        <patternFill patternType="none">
          <bgColor auto="1"/>
        </patternFill>
      </fill>
    </dxf>
    <dxf>
      <font>
        <color theme="0"/>
      </font>
      <fill>
        <patternFill>
          <bgColor theme="0"/>
        </patternFill>
      </fill>
      <border>
        <left/>
        <right/>
        <top/>
        <bottom/>
        <vertical/>
        <horizontal/>
      </border>
    </dxf>
    <dxf>
      <font>
        <color theme="0" tint="-0.34998626667073579"/>
      </font>
    </dxf>
    <dxf>
      <fill>
        <patternFill>
          <bgColor rgb="FFEBF1DE"/>
        </patternFill>
      </fill>
    </dxf>
    <dxf>
      <font>
        <color theme="1"/>
      </font>
      <fill>
        <patternFill>
          <bgColor rgb="FFE3B5A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dxf>
    <dxf>
      <fill>
        <patternFill>
          <bgColor rgb="FFE3B5A2"/>
        </patternFill>
      </fill>
    </dxf>
    <dxf>
      <fill>
        <patternFill>
          <bgColor rgb="FFEBF1DE"/>
        </patternFill>
      </fill>
    </dxf>
    <dxf>
      <fill>
        <patternFill>
          <bgColor rgb="FFEBF1DE"/>
        </patternFill>
      </fill>
    </dxf>
    <dxf>
      <font>
        <b val="0"/>
        <i val="0"/>
        <strike val="0"/>
        <u val="none"/>
        <color theme="0"/>
      </font>
      <fill>
        <patternFill>
          <fgColor theme="0"/>
          <bgColor theme="0"/>
        </patternFill>
      </fill>
      <border>
        <left/>
        <right/>
        <top/>
        <bottom/>
        <vertical/>
        <horizontal/>
      </border>
    </dxf>
    <dxf>
      <font>
        <color theme="0"/>
      </font>
    </dxf>
    <dxf>
      <border>
        <left/>
        <right/>
        <top/>
        <bottom/>
        <vertical/>
        <horizontal/>
      </border>
    </dxf>
    <dxf>
      <font>
        <color theme="1"/>
      </font>
      <fill>
        <patternFill>
          <bgColor rgb="FFEBF1DE"/>
        </patternFill>
      </fill>
    </dxf>
    <dxf>
      <fill>
        <patternFill>
          <bgColor theme="6" tint="0.79998168889431442"/>
        </patternFill>
      </fill>
    </dxf>
    <dxf>
      <fill>
        <patternFill>
          <bgColor rgb="FFE3B5A2"/>
        </patternFill>
      </fill>
    </dxf>
    <dxf>
      <fill>
        <patternFill patternType="lightDown">
          <fgColor theme="1"/>
          <bgColor theme="0"/>
        </patternFill>
      </fill>
    </dxf>
    <dxf>
      <fill>
        <patternFill>
          <bgColor rgb="FFE3B5A2"/>
        </patternFill>
      </fill>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ill>
        <patternFill>
          <bgColor rgb="FFFF0000"/>
        </patternFill>
      </fill>
    </dxf>
    <dxf>
      <font>
        <color theme="1"/>
      </font>
      <fill>
        <patternFill>
          <bgColor rgb="FFE3B5A2"/>
        </patternFill>
      </fill>
    </dxf>
    <dxf>
      <font>
        <color theme="1"/>
      </font>
      <fill>
        <patternFill>
          <bgColor rgb="FFEBF1DE"/>
        </patternFill>
      </fill>
    </dxf>
    <dxf>
      <font>
        <color theme="1"/>
      </font>
      <fill>
        <patternFill>
          <bgColor rgb="FFE3B5A2"/>
        </patternFill>
      </fill>
    </dxf>
    <dxf>
      <font>
        <color theme="1"/>
      </font>
      <fill>
        <patternFill>
          <bgColor rgb="FFE3B5A2"/>
        </patternFill>
      </fill>
    </dxf>
    <dxf>
      <font>
        <color theme="1"/>
      </font>
      <fill>
        <patternFill>
          <bgColor rgb="FFE3B5A2"/>
        </patternFill>
      </fill>
    </dxf>
    <dxf>
      <font>
        <color rgb="FFFF0000"/>
      </font>
      <fill>
        <patternFill patternType="none">
          <bgColor auto="1"/>
        </patternFill>
      </fill>
    </dxf>
    <dxf>
      <fill>
        <patternFill>
          <bgColor rgb="FFEBF1DE"/>
        </patternFill>
      </fill>
    </dxf>
    <dxf>
      <fill>
        <patternFill>
          <bgColor rgb="FFEBF1DE"/>
        </patternFill>
      </fill>
    </dxf>
    <dxf>
      <font>
        <color theme="1"/>
      </font>
      <fill>
        <patternFill>
          <bgColor rgb="FFEBF1DE"/>
        </patternFill>
      </fill>
    </dxf>
    <dxf>
      <font>
        <color theme="1"/>
      </font>
      <fill>
        <patternFill>
          <bgColor rgb="FFE3B5A2"/>
        </patternFill>
      </fill>
    </dxf>
    <dxf>
      <font>
        <color theme="1"/>
      </font>
      <fill>
        <patternFill>
          <bgColor rgb="FFE3B5A2"/>
        </patternFill>
      </fill>
    </dxf>
    <dxf>
      <font>
        <color theme="1"/>
      </font>
      <fill>
        <patternFill>
          <bgColor rgb="FFEBF1DE"/>
        </patternFill>
      </fill>
    </dxf>
    <dxf>
      <font>
        <color theme="0"/>
      </font>
      <fill>
        <patternFill>
          <bgColor theme="0"/>
        </patternFill>
      </fill>
      <border>
        <left/>
        <right/>
        <top/>
        <bottom/>
        <vertical/>
        <horizontal/>
      </border>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1"/>
      </font>
      <fill>
        <patternFill>
          <bgColor rgb="FFE3B5A2"/>
        </patternFill>
      </fill>
    </dxf>
    <dxf>
      <font>
        <color theme="1"/>
      </font>
      <fill>
        <patternFill>
          <bgColor rgb="FFEBF1DE"/>
        </patternFill>
      </fill>
    </dxf>
    <dxf>
      <font>
        <color theme="0"/>
      </font>
      <fill>
        <patternFill>
          <fgColor theme="0"/>
          <bgColor theme="0"/>
        </patternFill>
      </fill>
      <border>
        <left/>
        <right/>
        <top/>
        <bottom/>
        <vertical/>
        <horizontal/>
      </border>
    </dxf>
    <dxf>
      <fill>
        <patternFill>
          <bgColor rgb="FFEBF1DE"/>
        </patternFill>
      </fill>
    </dxf>
    <dxf>
      <font>
        <color rgb="FFFF0000"/>
      </font>
    </dxf>
    <dxf>
      <font>
        <color theme="0"/>
      </font>
    </dxf>
    <dxf>
      <font>
        <color rgb="FFFF0000"/>
      </font>
    </dxf>
    <dxf>
      <font>
        <color theme="0"/>
      </font>
    </dxf>
    <dxf>
      <font>
        <color theme="0"/>
      </font>
    </dxf>
    <dxf>
      <fill>
        <patternFill>
          <bgColor rgb="FFEBF1DE"/>
        </patternFill>
      </fill>
    </dxf>
    <dxf>
      <fill>
        <patternFill>
          <bgColor rgb="FFEBF1DE"/>
        </patternFill>
      </fill>
    </dxf>
    <dxf>
      <fill>
        <patternFill>
          <bgColor rgb="FFFCF2F7"/>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3B5A2"/>
        </patternFill>
      </fill>
    </dxf>
    <dxf>
      <font>
        <color theme="0"/>
      </font>
      <fill>
        <patternFill>
          <fgColor theme="0"/>
          <bgColor theme="0"/>
        </patternFill>
      </fill>
      <border>
        <left/>
        <right/>
        <top/>
        <bottom/>
        <vertical/>
        <horizontal/>
      </border>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ill>
        <patternFill>
          <bgColor rgb="FFE3B5A2"/>
        </patternFill>
      </fill>
    </dxf>
    <dxf>
      <fill>
        <patternFill>
          <bgColor rgb="FFE3B5A2"/>
        </patternFill>
      </fill>
    </dxf>
    <dxf>
      <fill>
        <patternFill>
          <bgColor rgb="FFE3B5A2"/>
        </patternFill>
      </fill>
      <border>
        <left style="thin">
          <color auto="1"/>
        </left>
        <vertical/>
        <horizontal/>
      </border>
    </dxf>
    <dxf>
      <fill>
        <patternFill>
          <bgColor rgb="FFEBF1DE"/>
        </patternFill>
      </fill>
      <border>
        <left style="thin">
          <color auto="1"/>
        </left>
        <vertical/>
        <horizontal/>
      </border>
    </dxf>
    <dxf>
      <fill>
        <patternFill>
          <bgColor rgb="FFEBF1DE"/>
        </patternFill>
      </fill>
    </dxf>
    <dxf>
      <fill>
        <patternFill>
          <bgColor rgb="FFE3B5A2"/>
        </patternFill>
      </fill>
      <border>
        <left style="thin">
          <color auto="1"/>
        </left>
        <vertical/>
        <horizontal/>
      </border>
    </dxf>
    <dxf>
      <fill>
        <patternFill>
          <bgColor rgb="FFEBF1DE"/>
        </patternFill>
      </fill>
      <border>
        <left style="thin">
          <color auto="1"/>
        </left>
        <vertical/>
        <horizontal/>
      </border>
    </dxf>
    <dxf>
      <fill>
        <patternFill>
          <bgColor rgb="FFE3B5A2"/>
        </patternFill>
      </fill>
    </dxf>
    <dxf>
      <fill>
        <patternFill>
          <bgColor rgb="FFEBF1DE"/>
        </patternFill>
      </fill>
    </dxf>
    <dxf>
      <fill>
        <patternFill>
          <bgColor rgb="FFE3B5A2"/>
        </patternFill>
      </fill>
    </dxf>
    <dxf>
      <fill>
        <patternFill>
          <bgColor rgb="FFEBF1DE"/>
        </patternFill>
      </fill>
    </dxf>
    <dxf>
      <font>
        <color theme="0" tint="-0.499984740745262"/>
      </font>
      <fill>
        <patternFill>
          <bgColor rgb="FFFCF2F7"/>
        </patternFill>
      </fill>
    </dxf>
    <dxf>
      <font>
        <color theme="0" tint="-0.499984740745262"/>
      </font>
      <fill>
        <patternFill>
          <bgColor rgb="FFFCF2F7"/>
        </patternFill>
      </fill>
    </dxf>
    <dxf>
      <fill>
        <patternFill>
          <bgColor rgb="FFE3B5A2"/>
        </patternFill>
      </fill>
    </dxf>
    <dxf>
      <font>
        <color theme="0"/>
      </font>
      <fill>
        <patternFill>
          <fgColor theme="0"/>
          <bgColor theme="0"/>
        </patternFill>
      </fill>
      <border>
        <left/>
        <right/>
        <top/>
        <bottom/>
        <vertical/>
        <horizontal/>
      </border>
    </dxf>
    <dxf>
      <fill>
        <patternFill>
          <bgColor rgb="FFE3B5A2"/>
        </patternFill>
      </fill>
    </dxf>
    <dxf>
      <fill>
        <patternFill>
          <bgColor rgb="FFE3B5A2"/>
        </patternFill>
      </fill>
    </dxf>
    <dxf>
      <font>
        <color theme="0"/>
      </font>
      <fill>
        <patternFill>
          <fgColor theme="0"/>
          <bgColor theme="0"/>
        </patternFill>
      </fill>
      <border>
        <left/>
        <right/>
        <top/>
        <bottom/>
        <vertical/>
        <horizontal/>
      </border>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ont>
        <color theme="0"/>
      </font>
    </dxf>
    <dxf>
      <font>
        <color theme="0"/>
      </font>
    </dxf>
    <dxf>
      <font>
        <color rgb="FFFF0000"/>
      </font>
    </dxf>
    <dxf>
      <font>
        <color theme="0"/>
      </font>
    </dxf>
    <dxf>
      <font>
        <u val="none"/>
        <color theme="0"/>
      </font>
      <fill>
        <patternFill>
          <bgColor theme="0"/>
        </patternFill>
      </fill>
    </dxf>
    <dxf>
      <font>
        <color theme="0"/>
      </font>
      <fill>
        <patternFill>
          <fgColor theme="0"/>
          <bgColor theme="0"/>
        </patternFill>
      </fill>
      <border>
        <left/>
        <right/>
        <top/>
        <bottom/>
        <vertical/>
        <horizontal/>
      </border>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dxf>
    <dxf>
      <font>
        <color rgb="FFFF0000"/>
      </font>
    </dxf>
    <dxf>
      <font>
        <color theme="0"/>
      </font>
    </dxf>
    <dxf>
      <font>
        <color theme="0"/>
      </font>
    </dxf>
    <dxf>
      <font>
        <color theme="0"/>
      </font>
    </dxf>
    <dxf>
      <font>
        <color rgb="FFFF0000"/>
      </font>
    </dxf>
    <dxf>
      <font>
        <color theme="0"/>
      </font>
    </dxf>
    <dxf>
      <font>
        <color theme="0"/>
      </font>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ont>
        <color theme="0" tint="-0.34998626667073579"/>
      </font>
    </dxf>
    <dxf>
      <fill>
        <patternFill>
          <bgColor rgb="FFE3B5A2"/>
        </patternFill>
      </fill>
    </dxf>
    <dxf>
      <fill>
        <patternFill>
          <bgColor rgb="FFEBF1DE"/>
        </patternFill>
      </fill>
    </dxf>
    <dxf>
      <font>
        <color theme="0" tint="-0.34998626667073579"/>
      </font>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ont>
        <color theme="0" tint="-0.34998626667073579"/>
      </font>
    </dxf>
    <dxf>
      <fill>
        <patternFill>
          <bgColor rgb="FFE3B5A2"/>
        </patternFill>
      </fill>
    </dxf>
    <dxf>
      <fill>
        <patternFill>
          <bgColor rgb="FFEBF1DE"/>
        </patternFill>
      </fill>
    </dxf>
    <dxf>
      <fill>
        <patternFill>
          <bgColor rgb="FFEBF1DE"/>
        </patternFill>
      </fill>
    </dxf>
    <dxf>
      <fill>
        <patternFill>
          <bgColor rgb="FFE3B5A2"/>
        </patternFill>
      </fill>
    </dxf>
    <dxf>
      <font>
        <color theme="0" tint="-0.34998626667073579"/>
      </font>
    </dxf>
    <dxf>
      <fill>
        <patternFill>
          <bgColor rgb="FFEBF1DE"/>
        </patternFill>
      </fill>
    </dxf>
    <dxf>
      <fill>
        <patternFill>
          <bgColor rgb="FFEBF1DE"/>
        </patternFill>
      </fill>
    </dxf>
    <dxf>
      <font>
        <color theme="0" tint="-0.34998626667073579"/>
      </font>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3B5A2"/>
        </patternFill>
      </fill>
    </dxf>
    <dxf>
      <fill>
        <patternFill>
          <bgColor rgb="FFE3B5A2"/>
        </patternFill>
      </fill>
    </dxf>
    <dxf>
      <fill>
        <patternFill>
          <bgColor rgb="FFEBF1DE"/>
        </patternFill>
      </fill>
    </dxf>
    <dxf>
      <font>
        <color rgb="FFFF0000"/>
      </font>
      <fill>
        <patternFill patternType="none">
          <bgColor auto="1"/>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tint="-0.34998626667073579"/>
      </font>
    </dxf>
    <dxf>
      <fill>
        <patternFill>
          <bgColor rgb="FFE3B5A2"/>
        </patternFill>
      </fill>
    </dxf>
    <dxf>
      <fill>
        <patternFill>
          <bgColor rgb="FFEBF1DE"/>
        </patternFill>
      </fill>
    </dxf>
    <dxf>
      <fill>
        <patternFill>
          <bgColor rgb="FFE3B5A2"/>
        </patternFill>
      </fill>
    </dxf>
    <dxf>
      <fill>
        <patternFill>
          <bgColor rgb="FFEBF1DE"/>
        </patternFill>
      </fill>
    </dxf>
    <dxf>
      <font>
        <color theme="0" tint="-0.34998626667073579"/>
      </font>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3B5A2"/>
        </patternFill>
      </fill>
    </dxf>
    <dxf>
      <font>
        <color theme="0" tint="-0.34998626667073579"/>
      </font>
    </dxf>
    <dxf>
      <fill>
        <patternFill>
          <bgColor rgb="FFEBF1DE"/>
        </patternFill>
      </fill>
    </dxf>
    <dxf>
      <fill>
        <patternFill>
          <bgColor rgb="FFEBF1DE"/>
        </patternFill>
      </fill>
    </dxf>
    <dxf>
      <fill>
        <patternFill>
          <bgColor rgb="FFE3B5A2"/>
        </patternFill>
      </fill>
    </dxf>
    <dxf>
      <fill>
        <patternFill>
          <bgColor rgb="FFE3B5A2"/>
        </patternFill>
      </fill>
    </dxf>
    <dxf>
      <fill>
        <patternFill>
          <bgColor rgb="FFEBF1DE"/>
        </patternFill>
      </fill>
    </dxf>
    <dxf>
      <font>
        <color theme="0" tint="-0.34998626667073579"/>
      </font>
    </dxf>
    <dxf>
      <fill>
        <patternFill>
          <bgColor rgb="FFEBF1DE"/>
        </patternFill>
      </fill>
    </dxf>
    <dxf>
      <fill>
        <patternFill>
          <bgColor rgb="FFE3B5A2"/>
        </patternFill>
      </fill>
    </dxf>
    <dxf>
      <fill>
        <patternFill>
          <bgColor rgb="FFEBF1DE"/>
        </patternFill>
      </fill>
    </dxf>
    <dxf>
      <font>
        <color theme="0" tint="-0.34998626667073579"/>
      </font>
    </dxf>
    <dxf>
      <fill>
        <patternFill>
          <bgColor rgb="FFE3B5A2"/>
        </patternFill>
      </fill>
    </dxf>
    <dxf>
      <font>
        <color theme="0" tint="-0.34998626667073579"/>
      </font>
    </dxf>
    <dxf>
      <fill>
        <patternFill>
          <bgColor rgb="FFEBF1DE"/>
        </patternFill>
      </fill>
    </dxf>
    <dxf>
      <fill>
        <patternFill>
          <bgColor rgb="FFEBF1DE"/>
        </patternFill>
      </fill>
    </dxf>
    <dxf>
      <fill>
        <patternFill>
          <bgColor rgb="FFE3B5A2"/>
        </patternFill>
      </fill>
    </dxf>
    <dxf>
      <fill>
        <patternFill>
          <bgColor rgb="FFE3B5A2"/>
        </patternFill>
      </fill>
    </dxf>
    <dxf>
      <font>
        <color theme="0"/>
      </font>
      <fill>
        <patternFill>
          <fgColor theme="0"/>
          <bgColor theme="0"/>
        </patternFill>
      </fill>
      <border>
        <left/>
        <right/>
        <top/>
        <bottom/>
        <vertical/>
        <horizontal/>
      </border>
    </dxf>
    <dxf>
      <font>
        <color theme="0" tint="-0.34998626667073579"/>
      </font>
    </dxf>
    <dxf>
      <fill>
        <patternFill>
          <bgColor rgb="FFE3B5A2"/>
        </patternFill>
      </fill>
    </dxf>
    <dxf>
      <fill>
        <patternFill>
          <bgColor rgb="FFEBF1DE"/>
        </patternFill>
      </fill>
    </dxf>
    <dxf>
      <font>
        <color theme="0" tint="-0.34998626667073579"/>
      </font>
    </dxf>
    <dxf>
      <fill>
        <patternFill>
          <bgColor rgb="FFEBF1DE"/>
        </patternFill>
      </fill>
    </dxf>
    <dxf>
      <fill>
        <patternFill>
          <bgColor rgb="FFE3B5A2"/>
        </patternFill>
      </fill>
    </dxf>
    <dxf>
      <fill>
        <patternFill>
          <bgColor rgb="FFE3B5A2"/>
        </patternFill>
      </fill>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3B5A2"/>
        </patternFill>
      </fill>
    </dxf>
    <dxf>
      <font>
        <color theme="0" tint="-0.34998626667073579"/>
      </font>
    </dxf>
    <dxf>
      <font>
        <color theme="0"/>
      </font>
      <fill>
        <patternFill>
          <fgColor theme="0"/>
          <bgColor theme="0"/>
        </patternFill>
      </fill>
      <border>
        <left/>
        <right/>
        <top/>
        <bottom/>
        <vertical/>
        <horizontal/>
      </border>
    </dxf>
    <dxf>
      <fill>
        <patternFill>
          <bgColor rgb="FFEBF1DE"/>
        </patternFill>
      </fill>
    </dxf>
    <dxf>
      <fill>
        <patternFill>
          <bgColor rgb="FFE3B5A2"/>
        </patternFill>
      </fill>
    </dxf>
    <dxf>
      <font>
        <color theme="0" tint="-0.34998626667073579"/>
      </font>
    </dxf>
    <dxf>
      <fill>
        <patternFill>
          <bgColor rgb="FFEBF1DE"/>
        </patternFill>
      </fill>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ont>
        <color rgb="FFFF0000"/>
      </font>
      <fill>
        <patternFill patternType="none">
          <bgColor auto="1"/>
        </patternFill>
      </fill>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ont>
        <color theme="0" tint="-0.34998626667073579"/>
      </font>
    </dxf>
    <dxf>
      <font>
        <color theme="0" tint="-0.34998626667073579"/>
      </font>
    </dxf>
    <dxf>
      <fill>
        <patternFill>
          <bgColor rgb="FFEBF1DE"/>
        </patternFill>
      </fill>
    </dxf>
    <dxf>
      <fill>
        <patternFill>
          <bgColor rgb="FFE3B5A2"/>
        </patternFill>
      </fill>
    </dxf>
    <dxf>
      <font>
        <color theme="0"/>
      </font>
    </dxf>
    <dxf>
      <font>
        <color theme="0"/>
      </font>
    </dxf>
    <dxf>
      <fill>
        <patternFill>
          <bgColor rgb="FF92D05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3B5A2"/>
        </patternFill>
      </fill>
    </dxf>
    <dxf>
      <font>
        <color theme="0"/>
      </font>
      <fill>
        <patternFill>
          <fgColor theme="0"/>
          <bgColor theme="0"/>
        </patternFill>
      </fill>
      <border>
        <left/>
        <right/>
        <top/>
        <bottom/>
        <vertical/>
        <horizontal/>
      </border>
    </dxf>
    <dxf>
      <fill>
        <patternFill>
          <bgColor rgb="FFEBF1DE"/>
        </patternFill>
      </fill>
    </dxf>
    <dxf>
      <font>
        <color theme="0"/>
      </font>
      <fill>
        <patternFill>
          <fgColor theme="0"/>
          <bgColor theme="0"/>
        </patternFill>
      </fill>
      <border>
        <left/>
        <right/>
        <top/>
        <bottom/>
        <vertical/>
        <horizontal/>
      </border>
    </dxf>
    <dxf>
      <font>
        <color rgb="FFFF0000"/>
      </font>
      <fill>
        <patternFill patternType="none">
          <bgColor auto="1"/>
        </patternFill>
      </fill>
    </dxf>
    <dxf>
      <font>
        <color theme="0"/>
      </font>
      <fill>
        <patternFill>
          <fgColor theme="0"/>
          <bgColor theme="0"/>
        </patternFill>
      </fill>
      <border>
        <left/>
        <right/>
        <top/>
        <bottom/>
        <vertical/>
        <horizontal/>
      </border>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BF1DE"/>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3B5A2"/>
        </patternFill>
      </fill>
    </dxf>
    <dxf>
      <font>
        <color auto="1"/>
      </font>
      <fill>
        <patternFill>
          <bgColor rgb="FFEBF1DE"/>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3B5A2"/>
        </patternFill>
      </fill>
    </dxf>
    <dxf>
      <fill>
        <patternFill>
          <bgColor rgb="FFE3B5A2"/>
        </patternFill>
      </fill>
    </dxf>
    <dxf>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BF1DE"/>
        </patternFill>
      </fill>
    </dxf>
    <dxf>
      <fill>
        <patternFill>
          <bgColor rgb="FFE3B5A2"/>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3B5A2"/>
        </patternFill>
      </fill>
    </dxf>
    <dxf>
      <fill>
        <patternFill>
          <bgColor rgb="FFE3B5A2"/>
        </patternFill>
      </fill>
    </dxf>
    <dxf>
      <font>
        <color theme="1"/>
      </font>
      <fill>
        <patternFill>
          <bgColor rgb="FFEBF1DE"/>
        </patternFill>
      </fill>
    </dxf>
    <dxf>
      <fill>
        <patternFill>
          <bgColor rgb="FFEBF1DE"/>
        </patternFill>
      </fill>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ill>
        <patternFill patternType="solid">
          <fgColor rgb="FFEBF1DE"/>
          <bgColor theme="6" tint="0.7999816888943144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patternType="solid">
          <fgColor rgb="FFEBF1DE"/>
          <bgColor theme="6" tint="0.79998168889431442"/>
        </patternFill>
      </fill>
    </dxf>
    <dxf>
      <fill>
        <patternFill patternType="solid">
          <fgColor rgb="FFEBF1DE"/>
          <bgColor theme="6" tint="0.79998168889431442"/>
        </patternFill>
      </fill>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ill>
        <patternFill patternType="lightDown">
          <fgColor theme="1" tint="0.499984740745262"/>
          <bgColor theme="0"/>
        </patternFill>
      </fill>
    </dxf>
    <dxf>
      <fill>
        <patternFill patternType="lightDown">
          <fgColor theme="1" tint="0.499984740745262"/>
          <bgColor theme="0"/>
        </patternFill>
      </fill>
    </dxf>
    <dxf>
      <fill>
        <patternFill>
          <bgColor rgb="FFFF0000"/>
        </patternFill>
      </fill>
    </dxf>
    <dxf>
      <fill>
        <patternFill>
          <bgColor rgb="FFFF0000"/>
        </patternFill>
      </fill>
    </dxf>
    <dxf>
      <fill>
        <patternFill>
          <bgColor rgb="FF92D050"/>
        </patternFill>
      </fill>
    </dxf>
    <dxf>
      <fill>
        <patternFill>
          <bgColor rgb="FFEBF1DE"/>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fill>
        <patternFill>
          <bgColor rgb="FF92D050"/>
        </patternFill>
      </fill>
    </dxf>
    <dxf>
      <fill>
        <patternFill>
          <bgColor rgb="FFEBF1DE"/>
        </patternFill>
      </fill>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BF1D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E3B5A2"/>
      <color rgb="FFE8E8E8"/>
      <color rgb="FFEBF1DE"/>
      <color rgb="FFFCF2F7"/>
      <color rgb="FFF9DBDB"/>
      <color rgb="FFFBDED2"/>
      <color rgb="FFDCE6F0"/>
      <color rgb="FF008540"/>
      <color rgb="FFFCC2B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menu!$C$86" lockText="1" noThreeD="1"/>
</file>

<file path=xl/ctrlProps/ctrlProp10.xml><?xml version="1.0" encoding="utf-8"?>
<formControlPr xmlns="http://schemas.microsoft.com/office/spreadsheetml/2009/9/main" objectType="CheckBox" checked="Checked" fmlaLink="menu!U10" lockText="1" noThreeD="1"/>
</file>

<file path=xl/ctrlProps/ctrlProp11.xml><?xml version="1.0" encoding="utf-8"?>
<formControlPr xmlns="http://schemas.microsoft.com/office/spreadsheetml/2009/9/main" objectType="CheckBox" fmlaLink="menu!B42" lockText="1" noThreeD="1"/>
</file>

<file path=xl/ctrlProps/ctrlProp12.xml><?xml version="1.0" encoding="utf-8"?>
<formControlPr xmlns="http://schemas.microsoft.com/office/spreadsheetml/2009/9/main" objectType="CheckBox" fmlaLink="menu!B43" lockText="1" noThreeD="1"/>
</file>

<file path=xl/ctrlProps/ctrlProp13.xml><?xml version="1.0" encoding="utf-8"?>
<formControlPr xmlns="http://schemas.microsoft.com/office/spreadsheetml/2009/9/main" objectType="CheckBox" checked="Checked" fmlaLink="menu!U5" lockText="1" noThreeD="1"/>
</file>

<file path=xl/ctrlProps/ctrlProp14.xml><?xml version="1.0" encoding="utf-8"?>
<formControlPr xmlns="http://schemas.microsoft.com/office/spreadsheetml/2009/9/main" objectType="Radio" firstButton="1" fmlaLink="menu!$H$4"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menu!U6"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menu!A6" lockText="1" noThreeD="1"/>
</file>

<file path=xl/ctrlProps/ctrlProp19.xml><?xml version="1.0" encoding="utf-8"?>
<formControlPr xmlns="http://schemas.microsoft.com/office/spreadsheetml/2009/9/main" objectType="CheckBox" checked="Checked" fmlaLink="menu!U8" lockText="1" noThreeD="1"/>
</file>

<file path=xl/ctrlProps/ctrlProp2.xml><?xml version="1.0" encoding="utf-8"?>
<formControlPr xmlns="http://schemas.microsoft.com/office/spreadsheetml/2009/9/main" objectType="CheckBox" fmlaLink="menu!B57" lockText="1" noThreeD="1"/>
</file>

<file path=xl/ctrlProps/ctrlProp3.xml><?xml version="1.0" encoding="utf-8"?>
<formControlPr xmlns="http://schemas.microsoft.com/office/spreadsheetml/2009/9/main" objectType="CheckBox" fmlaLink="menu!B44" lockText="1" noThreeD="1"/>
</file>

<file path=xl/ctrlProps/ctrlProp4.xml><?xml version="1.0" encoding="utf-8"?>
<formControlPr xmlns="http://schemas.microsoft.com/office/spreadsheetml/2009/9/main" objectType="CheckBox" fmlaLink="menu!B45" lockText="1" noThreeD="1"/>
</file>

<file path=xl/ctrlProps/ctrlProp5.xml><?xml version="1.0" encoding="utf-8"?>
<formControlPr xmlns="http://schemas.microsoft.com/office/spreadsheetml/2009/9/main" objectType="CheckBox" fmlaLink="menu!B46" lockText="1" noThreeD="1"/>
</file>

<file path=xl/ctrlProps/ctrlProp6.xml><?xml version="1.0" encoding="utf-8"?>
<formControlPr xmlns="http://schemas.microsoft.com/office/spreadsheetml/2009/9/main" objectType="CheckBox" fmlaLink="menu!B55" lockText="1" noThreeD="1"/>
</file>

<file path=xl/ctrlProps/ctrlProp7.xml><?xml version="1.0" encoding="utf-8"?>
<formControlPr xmlns="http://schemas.microsoft.com/office/spreadsheetml/2009/9/main" objectType="CheckBox" fmlaLink="menu!B51" lockText="1" noThreeD="1"/>
</file>

<file path=xl/ctrlProps/ctrlProp8.xml><?xml version="1.0" encoding="utf-8"?>
<formControlPr xmlns="http://schemas.microsoft.com/office/spreadsheetml/2009/9/main" objectType="CheckBox" checked="Checked" fmlaLink="menu!U9" lockText="1" noThreeD="1"/>
</file>

<file path=xl/ctrlProps/ctrlProp9.xml><?xml version="1.0" encoding="utf-8"?>
<formControlPr xmlns="http://schemas.microsoft.com/office/spreadsheetml/2009/9/main" objectType="CheckBox" checked="Checked" fmlaLink="menu!U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28</xdr:row>
          <xdr:rowOff>69850</xdr:rowOff>
        </xdr:from>
        <xdr:to>
          <xdr:col>3</xdr:col>
          <xdr:colOff>95250</xdr:colOff>
          <xdr:row>28</xdr:row>
          <xdr:rowOff>279400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552450</xdr:colOff>
      <xdr:row>1</xdr:row>
      <xdr:rowOff>19050</xdr:rowOff>
    </xdr:from>
    <xdr:to>
      <xdr:col>18</xdr:col>
      <xdr:colOff>2094</xdr:colOff>
      <xdr:row>3</xdr:row>
      <xdr:rowOff>75672</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79"/>
        <a:stretch>
          <a:fillRect/>
        </a:stretch>
      </xdr:blipFill>
      <xdr:spPr>
        <a:xfrm>
          <a:off x="4676775" y="171450"/>
          <a:ext cx="2745294" cy="9329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203200</xdr:colOff>
          <xdr:row>33</xdr:row>
          <xdr:rowOff>69850</xdr:rowOff>
        </xdr:from>
        <xdr:to>
          <xdr:col>3</xdr:col>
          <xdr:colOff>127000</xdr:colOff>
          <xdr:row>34</xdr:row>
          <xdr:rowOff>95250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F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33</xdr:row>
          <xdr:rowOff>76200</xdr:rowOff>
        </xdr:from>
        <xdr:to>
          <xdr:col>7</xdr:col>
          <xdr:colOff>209550</xdr:colOff>
          <xdr:row>34</xdr:row>
          <xdr:rowOff>107950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F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xdr:row>
          <xdr:rowOff>165100</xdr:rowOff>
        </xdr:from>
        <xdr:to>
          <xdr:col>4</xdr:col>
          <xdr:colOff>603250</xdr:colOff>
          <xdr:row>4</xdr:row>
          <xdr:rowOff>133350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F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33</xdr:row>
          <xdr:rowOff>76200</xdr:rowOff>
        </xdr:from>
        <xdr:to>
          <xdr:col>13</xdr:col>
          <xdr:colOff>209550</xdr:colOff>
          <xdr:row>34</xdr:row>
          <xdr:rowOff>107950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F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31750</xdr:rowOff>
        </xdr:from>
        <xdr:to>
          <xdr:col>2</xdr:col>
          <xdr:colOff>266700</xdr:colOff>
          <xdr:row>28</xdr:row>
          <xdr:rowOff>241300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F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146050</xdr:colOff>
          <xdr:row>3</xdr:row>
          <xdr:rowOff>165100</xdr:rowOff>
        </xdr:from>
        <xdr:to>
          <xdr:col>4</xdr:col>
          <xdr:colOff>889000</xdr:colOff>
          <xdr:row>4</xdr:row>
          <xdr:rowOff>127000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7681</xdr:colOff>
      <xdr:row>11</xdr:row>
      <xdr:rowOff>614</xdr:rowOff>
    </xdr:from>
    <xdr:ext cx="6913307" cy="2688508"/>
    <xdr:sp macro="" textlink="" fLocksText="0">
      <xdr:nvSpPr>
        <xdr:cNvPr id="4" name="Textfeld 3">
          <a:extLst>
            <a:ext uri="{FF2B5EF4-FFF2-40B4-BE49-F238E27FC236}">
              <a16:creationId xmlns:a16="http://schemas.microsoft.com/office/drawing/2014/main" id="{00000000-0008-0000-0300-000004000000}"/>
            </a:ext>
          </a:extLst>
        </xdr:cNvPr>
        <xdr:cNvSpPr txBox="1">
          <a:spLocks/>
        </xdr:cNvSpPr>
      </xdr:nvSpPr>
      <xdr:spPr>
        <a:xfrm>
          <a:off x="360106" y="2058014"/>
          <a:ext cx="6913307" cy="26885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a:p>
      </xdr:txBody>
    </xdr:sp>
    <xdr:clientData/>
  </xdr:oneCellAnchor>
  <xdr:oneCellAnchor>
    <xdr:from>
      <xdr:col>1</xdr:col>
      <xdr:colOff>183127</xdr:colOff>
      <xdr:row>46</xdr:row>
      <xdr:rowOff>313709</xdr:rowOff>
    </xdr:from>
    <xdr:ext cx="6922216" cy="2682057"/>
    <xdr:sp macro="" textlink="" fLocksText="0">
      <xdr:nvSpPr>
        <xdr:cNvPr id="5" name="Textfeld 4">
          <a:extLst>
            <a:ext uri="{FF2B5EF4-FFF2-40B4-BE49-F238E27FC236}">
              <a16:creationId xmlns:a16="http://schemas.microsoft.com/office/drawing/2014/main" id="{00000000-0008-0000-0300-000005000000}"/>
            </a:ext>
          </a:extLst>
        </xdr:cNvPr>
        <xdr:cNvSpPr txBox="1"/>
      </xdr:nvSpPr>
      <xdr:spPr>
        <a:xfrm>
          <a:off x="352119" y="8402278"/>
          <a:ext cx="6922216" cy="2682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1100"/>
        </a:p>
      </xdr:txBody>
    </xdr:sp>
    <xdr:clientData/>
  </xdr:oneCellAnchor>
  <xdr:oneCellAnchor>
    <xdr:from>
      <xdr:col>1</xdr:col>
      <xdr:colOff>181898</xdr:colOff>
      <xdr:row>29</xdr:row>
      <xdr:rowOff>5224</xdr:rowOff>
    </xdr:from>
    <xdr:ext cx="6923445" cy="2688508"/>
    <xdr:sp macro="" textlink="" fLocksText="0">
      <xdr:nvSpPr>
        <xdr:cNvPr id="6" name="Textfeld 5">
          <a:extLst>
            <a:ext uri="{FF2B5EF4-FFF2-40B4-BE49-F238E27FC236}">
              <a16:creationId xmlns:a16="http://schemas.microsoft.com/office/drawing/2014/main" id="{00000000-0008-0000-0300-000006000000}"/>
            </a:ext>
          </a:extLst>
        </xdr:cNvPr>
        <xdr:cNvSpPr txBox="1"/>
      </xdr:nvSpPr>
      <xdr:spPr>
        <a:xfrm>
          <a:off x="350890" y="5336151"/>
          <a:ext cx="6923445" cy="26885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11</xdr:row>
          <xdr:rowOff>0</xdr:rowOff>
        </xdr:from>
        <xdr:to>
          <xdr:col>4</xdr:col>
          <xdr:colOff>19050</xdr:colOff>
          <xdr:row>11</xdr:row>
          <xdr:rowOff>222250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41</xdr:row>
          <xdr:rowOff>114300</xdr:rowOff>
        </xdr:from>
        <xdr:to>
          <xdr:col>2</xdr:col>
          <xdr:colOff>355600</xdr:colOff>
          <xdr:row>42</xdr:row>
          <xdr:rowOff>69850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8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xdr:row>
          <xdr:rowOff>165100</xdr:rowOff>
        </xdr:from>
        <xdr:to>
          <xdr:col>2</xdr:col>
          <xdr:colOff>361950</xdr:colOff>
          <xdr:row>13</xdr:row>
          <xdr:rowOff>323850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8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xdr:row>
          <xdr:rowOff>152400</xdr:rowOff>
        </xdr:from>
        <xdr:to>
          <xdr:col>2</xdr:col>
          <xdr:colOff>361950</xdr:colOff>
          <xdr:row>15</xdr:row>
          <xdr:rowOff>323850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8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31</xdr:row>
          <xdr:rowOff>69850</xdr:rowOff>
        </xdr:from>
        <xdr:to>
          <xdr:col>2</xdr:col>
          <xdr:colOff>304800</xdr:colOff>
          <xdr:row>31</xdr:row>
          <xdr:rowOff>228600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9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45</xdr:row>
          <xdr:rowOff>38100</xdr:rowOff>
        </xdr:from>
        <xdr:to>
          <xdr:col>2</xdr:col>
          <xdr:colOff>298450</xdr:colOff>
          <xdr:row>46</xdr:row>
          <xdr:rowOff>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xdr:row>
          <xdr:rowOff>146050</xdr:rowOff>
        </xdr:from>
        <xdr:to>
          <xdr:col>4</xdr:col>
          <xdr:colOff>603250</xdr:colOff>
          <xdr:row>4</xdr:row>
          <xdr:rowOff>76200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B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146050</xdr:colOff>
          <xdr:row>3</xdr:row>
          <xdr:rowOff>165100</xdr:rowOff>
        </xdr:from>
        <xdr:to>
          <xdr:col>4</xdr:col>
          <xdr:colOff>95250</xdr:colOff>
          <xdr:row>4</xdr:row>
          <xdr:rowOff>133350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C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3</xdr:row>
          <xdr:rowOff>165100</xdr:rowOff>
        </xdr:from>
        <xdr:to>
          <xdr:col>4</xdr:col>
          <xdr:colOff>990600</xdr:colOff>
          <xdr:row>4</xdr:row>
          <xdr:rowOff>114300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D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33</xdr:row>
          <xdr:rowOff>12700</xdr:rowOff>
        </xdr:from>
        <xdr:to>
          <xdr:col>2</xdr:col>
          <xdr:colOff>279400</xdr:colOff>
          <xdr:row>33</xdr:row>
          <xdr:rowOff>184150</xdr:rowOff>
        </xdr:to>
        <xdr:sp macro="" textlink="">
          <xdr:nvSpPr>
            <xdr:cNvPr id="8196" name="CB_ws1" hidden="1">
              <a:extLst>
                <a:ext uri="{63B3BB69-23CF-44E3-9099-C40C66FF867C}">
                  <a14:compatExt spid="_x0000_s8196"/>
                </a:ext>
                <a:ext uri="{FF2B5EF4-FFF2-40B4-BE49-F238E27FC236}">
                  <a16:creationId xmlns:a16="http://schemas.microsoft.com/office/drawing/2014/main" id="{00000000-0008-0000-0E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42</xdr:row>
          <xdr:rowOff>19050</xdr:rowOff>
        </xdr:from>
        <xdr:to>
          <xdr:col>2</xdr:col>
          <xdr:colOff>279400</xdr:colOff>
          <xdr:row>42</xdr:row>
          <xdr:rowOff>171450</xdr:rowOff>
        </xdr:to>
        <xdr:sp macro="" textlink="">
          <xdr:nvSpPr>
            <xdr:cNvPr id="8197" name="CB_ws2" hidden="1">
              <a:extLst>
                <a:ext uri="{63B3BB69-23CF-44E3-9099-C40C66FF867C}">
                  <a14:compatExt spid="_x0000_s8197"/>
                </a:ext>
                <a:ext uri="{FF2B5EF4-FFF2-40B4-BE49-F238E27FC236}">
                  <a16:creationId xmlns:a16="http://schemas.microsoft.com/office/drawing/2014/main" id="{00000000-0008-0000-0E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xdr:row>
          <xdr:rowOff>95250</xdr:rowOff>
        </xdr:from>
        <xdr:to>
          <xdr:col>5</xdr:col>
          <xdr:colOff>203200</xdr:colOff>
          <xdr:row>4</xdr:row>
          <xdr:rowOff>50800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E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KS\Fachliche-Schwerpunkte\06_Kommune\11_Excel%20und%20PDF-Formulare%20-%20KRL\Formulare_Arbeitsordner\KRL2022\4.1.8%20KSM\211116_Berechnungsformular_Ausgaben_Umsetz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oerderportal.bund.de/easyonline/reflink.jsf?m=KLIMASCHUTZ_KRL_2019&amp;b=2071_KONZ_KSM_ERSTV&amp;t=AZA"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prozess-wegweiser.de/" TargetMode="External"/><Relationship Id="rId1" Type="http://schemas.openxmlformats.org/officeDocument/2006/relationships/printerSettings" Target="../printerSettings/printerSettings17.bin"/><Relationship Id="rId6" Type="http://schemas.openxmlformats.org/officeDocument/2006/relationships/ctrlProp" Target="../ctrlProps/ctrlProp9.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ctrlProp" Target="../ctrlProps/ctrlProp10.xml"/><Relationship Id="rId4"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7" Type="http://schemas.openxmlformats.org/officeDocument/2006/relationships/ctrlProp" Target="../ctrlProps/ctrlProp13.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10.xml"/><Relationship Id="rId7" Type="http://schemas.openxmlformats.org/officeDocument/2006/relationships/ctrlProp" Target="../ctrlProps/ctrlProp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vmlDrawing" Target="../drawings/vmlDrawing9.vml"/><Relationship Id="rId9" Type="http://schemas.openxmlformats.org/officeDocument/2006/relationships/ctrlProp" Target="../ctrlProps/ctrlProp18.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trlProp" Target="../ctrlProps/ctrlProp19.xml"/><Relationship Id="rId4" Type="http://schemas.openxmlformats.org/officeDocument/2006/relationships/vmlDrawing" Target="../drawings/vmlDrawing10.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foerderportal.bund.de/easyonline/reflink.jsf?m=KLIMASCHUTZ_KRL_2019&amp;b=2071_KONZ_KSM_ERSTV&amp;t=AZA"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3" tint="0.59999389629810485"/>
    <pageSetUpPr fitToPage="1"/>
  </sheetPr>
  <dimension ref="A1:AC97"/>
  <sheetViews>
    <sheetView showGridLines="0" showRowColHeaders="0" tabSelected="1" zoomScaleNormal="100" zoomScaleSheetLayoutView="100" workbookViewId="0">
      <selection activeCell="I14" sqref="I14:Q14"/>
    </sheetView>
  </sheetViews>
  <sheetFormatPr baseColWidth="10" defaultColWidth="11.453125" defaultRowHeight="11.5" x14ac:dyDescent="0.25"/>
  <cols>
    <col min="1" max="1" width="2.54296875" style="1" customWidth="1"/>
    <col min="2" max="2" width="2.7265625" style="1" customWidth="1"/>
    <col min="3" max="3" width="2.81640625" style="1" customWidth="1"/>
    <col min="4" max="4" width="3.1796875" style="1" customWidth="1"/>
    <col min="5" max="5" width="3.7265625" style="1" customWidth="1"/>
    <col min="6" max="6" width="3.453125" style="1" customWidth="1"/>
    <col min="7" max="7" width="0.7265625" style="1" customWidth="1"/>
    <col min="8" max="8" width="9.453125" style="1" customWidth="1"/>
    <col min="9" max="9" width="4.54296875" style="1" customWidth="1"/>
    <col min="10" max="10" width="7.26953125" style="1" customWidth="1"/>
    <col min="11" max="11" width="10" style="1" customWidth="1"/>
    <col min="12" max="13" width="5.7265625" style="1" customWidth="1"/>
    <col min="14" max="16" width="11.453125" style="1" customWidth="1"/>
    <col min="17" max="17" width="12.81640625" style="1" customWidth="1"/>
    <col min="18" max="19" width="2.26953125" style="1" customWidth="1"/>
    <col min="20" max="20" width="13.7265625" style="1" customWidth="1"/>
    <col min="21" max="21" width="11.453125" style="1"/>
    <col min="22" max="22" width="15.26953125" style="1" customWidth="1"/>
    <col min="23" max="27" width="11.453125" style="1"/>
    <col min="28" max="28" width="35.54296875" style="1" customWidth="1"/>
    <col min="29" max="29" width="40.26953125" style="1" customWidth="1"/>
    <col min="30" max="16384" width="11.453125" style="1"/>
  </cols>
  <sheetData>
    <row r="1" spans="1:29" x14ac:dyDescent="0.25">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row>
    <row r="2" spans="1:29" ht="12" customHeight="1" x14ac:dyDescent="0.25">
      <c r="A2" s="421"/>
      <c r="S2" s="421"/>
      <c r="T2" s="421"/>
      <c r="U2" s="421"/>
      <c r="V2" s="421"/>
      <c r="W2" s="421"/>
      <c r="X2" s="421"/>
      <c r="Y2" s="421"/>
      <c r="Z2" s="421"/>
      <c r="AA2" s="421"/>
      <c r="AB2" s="421"/>
      <c r="AC2" s="421"/>
    </row>
    <row r="3" spans="1:29" s="4" customFormat="1" ht="57" customHeight="1" x14ac:dyDescent="0.25">
      <c r="A3" s="422"/>
      <c r="C3" s="532" t="s">
        <v>660</v>
      </c>
      <c r="D3" s="532"/>
      <c r="E3" s="532"/>
      <c r="F3" s="532"/>
      <c r="G3" s="532"/>
      <c r="H3" s="532"/>
      <c r="I3" s="532"/>
      <c r="J3" s="532"/>
      <c r="K3" s="532"/>
      <c r="L3" s="532"/>
      <c r="M3" s="532"/>
      <c r="N3" s="532"/>
      <c r="O3" s="1"/>
      <c r="P3" s="1"/>
      <c r="Q3" s="1"/>
      <c r="R3" s="1"/>
      <c r="S3" s="422"/>
      <c r="T3" s="423"/>
      <c r="U3" s="543"/>
      <c r="V3" s="543"/>
      <c r="W3" s="424"/>
      <c r="X3" s="424"/>
      <c r="Y3" s="422"/>
      <c r="Z3" s="422"/>
      <c r="AA3" s="422"/>
      <c r="AB3" s="422"/>
      <c r="AC3" s="422"/>
    </row>
    <row r="4" spans="1:29" s="4" customFormat="1" ht="24.75" customHeight="1" x14ac:dyDescent="0.25">
      <c r="A4" s="422"/>
      <c r="C4" s="531" t="s">
        <v>661</v>
      </c>
      <c r="D4" s="531"/>
      <c r="E4" s="531"/>
      <c r="F4" s="531"/>
      <c r="G4" s="531"/>
      <c r="H4" s="531"/>
      <c r="I4" s="531"/>
      <c r="J4" s="531"/>
      <c r="K4" s="531"/>
      <c r="L4" s="531"/>
      <c r="M4" s="531"/>
      <c r="N4" s="531"/>
      <c r="O4" s="531"/>
      <c r="P4" s="1"/>
      <c r="Q4" s="1"/>
      <c r="R4" s="1"/>
      <c r="S4" s="422"/>
      <c r="T4" s="423"/>
      <c r="U4" s="425"/>
      <c r="V4" s="425"/>
      <c r="W4" s="424"/>
      <c r="X4" s="424"/>
      <c r="Y4" s="422"/>
      <c r="Z4" s="422"/>
      <c r="AA4" s="422"/>
      <c r="AB4" s="422"/>
      <c r="AC4" s="422"/>
    </row>
    <row r="5" spans="1:29" s="4" customFormat="1" ht="6" customHeight="1" x14ac:dyDescent="0.25">
      <c r="A5" s="422"/>
      <c r="C5" s="328"/>
      <c r="D5" s="328"/>
      <c r="E5" s="328"/>
      <c r="F5" s="328"/>
      <c r="G5" s="328"/>
      <c r="H5" s="328"/>
      <c r="I5" s="328"/>
      <c r="J5" s="328"/>
      <c r="K5" s="328"/>
      <c r="L5" s="328"/>
      <c r="M5" s="328"/>
      <c r="N5" s="1"/>
      <c r="O5" s="1"/>
      <c r="P5" s="1"/>
      <c r="Q5" s="1"/>
      <c r="R5" s="1"/>
      <c r="S5" s="422"/>
      <c r="T5" s="424"/>
      <c r="U5" s="424"/>
      <c r="V5" s="424"/>
      <c r="W5" s="424"/>
      <c r="X5" s="424"/>
      <c r="Y5" s="422"/>
      <c r="Z5" s="422"/>
      <c r="AA5" s="422"/>
      <c r="AB5" s="422"/>
      <c r="AC5" s="422"/>
    </row>
    <row r="6" spans="1:29" s="4" customFormat="1" ht="27.75" customHeight="1" x14ac:dyDescent="0.25">
      <c r="A6" s="422"/>
      <c r="C6" s="533" t="str">
        <f>IF(C24&lt;&gt;"Hinweis:","Hier: "&amp;IF(I27=menu!A105,C24,LEFT(C24,10))&amp;" "&amp;I27&amp;IF(I27=menu!A105,"s",""),"")</f>
        <v/>
      </c>
      <c r="D6" s="533"/>
      <c r="E6" s="533"/>
      <c r="F6" s="533"/>
      <c r="G6" s="533"/>
      <c r="H6" s="533"/>
      <c r="I6" s="533"/>
      <c r="J6" s="533"/>
      <c r="K6" s="533"/>
      <c r="L6" s="533"/>
      <c r="M6" s="533"/>
      <c r="N6" s="533"/>
      <c r="O6" s="414"/>
      <c r="P6" s="414"/>
      <c r="Q6" s="414"/>
      <c r="R6" s="1"/>
      <c r="S6" s="422"/>
      <c r="T6" s="426"/>
      <c r="U6" s="424"/>
      <c r="V6" s="424"/>
      <c r="W6" s="424"/>
      <c r="X6" s="424"/>
      <c r="Y6" s="422"/>
      <c r="Z6" s="422"/>
      <c r="AA6" s="422"/>
      <c r="AB6" s="422"/>
      <c r="AC6" s="422"/>
    </row>
    <row r="7" spans="1:29" s="4" customFormat="1" ht="6" customHeight="1" x14ac:dyDescent="0.25">
      <c r="A7" s="422"/>
      <c r="C7" s="335"/>
      <c r="D7" s="335"/>
      <c r="E7" s="335"/>
      <c r="F7" s="335"/>
      <c r="G7" s="335"/>
      <c r="H7" s="335"/>
      <c r="I7" s="335"/>
      <c r="J7" s="335"/>
      <c r="K7" s="335"/>
      <c r="L7" s="335"/>
      <c r="M7" s="335"/>
      <c r="N7" s="1"/>
      <c r="O7" s="1"/>
      <c r="P7" s="1"/>
      <c r="Q7" s="1"/>
      <c r="R7" s="1"/>
      <c r="S7" s="422"/>
      <c r="T7" s="424"/>
      <c r="U7" s="424"/>
      <c r="V7" s="424"/>
      <c r="W7" s="424"/>
      <c r="X7" s="424"/>
      <c r="Y7" s="422"/>
      <c r="Z7" s="422"/>
      <c r="AA7" s="422"/>
      <c r="AB7" s="422"/>
      <c r="AC7" s="422"/>
    </row>
    <row r="8" spans="1:29" s="347" customFormat="1" ht="16.5" customHeight="1" x14ac:dyDescent="0.35">
      <c r="A8" s="427"/>
      <c r="C8" s="350" t="s">
        <v>663</v>
      </c>
      <c r="D8" s="348"/>
      <c r="E8" s="348"/>
      <c r="F8" s="348"/>
      <c r="G8" s="348"/>
      <c r="H8" s="348"/>
      <c r="I8" s="348"/>
      <c r="J8" s="348"/>
      <c r="K8" s="348"/>
      <c r="L8" s="348"/>
      <c r="M8" s="348"/>
      <c r="N8" s="349"/>
      <c r="O8" s="349"/>
      <c r="P8" s="349"/>
      <c r="Q8" s="352"/>
      <c r="R8" s="349"/>
      <c r="S8" s="427"/>
      <c r="T8" s="428"/>
      <c r="U8" s="428"/>
      <c r="V8" s="428"/>
      <c r="W8" s="428"/>
      <c r="X8" s="428"/>
      <c r="Y8" s="427"/>
      <c r="Z8" s="427"/>
      <c r="AA8" s="427"/>
      <c r="AB8" s="427"/>
      <c r="AC8" s="427"/>
    </row>
    <row r="9" spans="1:29" s="347" customFormat="1" ht="27" customHeight="1" x14ac:dyDescent="0.25">
      <c r="A9" s="427"/>
      <c r="C9" s="517" t="s">
        <v>437</v>
      </c>
      <c r="D9" s="517"/>
      <c r="E9" s="517"/>
      <c r="F9" s="516" t="s">
        <v>595</v>
      </c>
      <c r="G9" s="517"/>
      <c r="H9" s="517"/>
      <c r="I9" s="517"/>
      <c r="J9" s="517"/>
      <c r="K9" s="517"/>
      <c r="L9" s="517"/>
      <c r="M9" s="517"/>
      <c r="N9" s="517"/>
      <c r="O9" s="517"/>
      <c r="P9" s="517"/>
      <c r="Q9" s="517"/>
      <c r="R9" s="349"/>
      <c r="S9" s="427"/>
      <c r="T9" s="428"/>
      <c r="U9" s="428"/>
      <c r="V9" s="428"/>
      <c r="W9" s="428"/>
      <c r="X9" s="428"/>
      <c r="Y9" s="427"/>
      <c r="Z9" s="427"/>
      <c r="AA9" s="427"/>
      <c r="AB9" s="427"/>
      <c r="AC9" s="427"/>
    </row>
    <row r="10" spans="1:29" s="4" customFormat="1" ht="27" customHeight="1" x14ac:dyDescent="0.25">
      <c r="A10" s="422"/>
      <c r="C10" s="517" t="s">
        <v>438</v>
      </c>
      <c r="D10" s="517"/>
      <c r="E10" s="517"/>
      <c r="F10" s="516" t="s">
        <v>681</v>
      </c>
      <c r="G10" s="516"/>
      <c r="H10" s="516"/>
      <c r="I10" s="516"/>
      <c r="J10" s="516"/>
      <c r="K10" s="516"/>
      <c r="L10" s="516"/>
      <c r="M10" s="516"/>
      <c r="N10" s="516"/>
      <c r="O10" s="516"/>
      <c r="P10" s="516"/>
      <c r="Q10" s="516"/>
      <c r="R10" s="1"/>
      <c r="S10" s="422"/>
      <c r="T10" s="424"/>
      <c r="U10" s="424"/>
      <c r="V10" s="424"/>
      <c r="W10" s="424"/>
      <c r="X10" s="424"/>
      <c r="Y10" s="422"/>
      <c r="Z10" s="422"/>
      <c r="AA10" s="422"/>
      <c r="AB10" s="422"/>
      <c r="AC10" s="422"/>
    </row>
    <row r="11" spans="1:29" s="4" customFormat="1" ht="27" customHeight="1" x14ac:dyDescent="0.25">
      <c r="A11" s="422"/>
      <c r="C11" s="517" t="s">
        <v>439</v>
      </c>
      <c r="D11" s="517"/>
      <c r="E11" s="517"/>
      <c r="F11" s="516" t="s">
        <v>585</v>
      </c>
      <c r="G11" s="516"/>
      <c r="H11" s="516"/>
      <c r="I11" s="516"/>
      <c r="J11" s="516"/>
      <c r="K11" s="516"/>
      <c r="L11" s="516"/>
      <c r="M11" s="516"/>
      <c r="N11" s="516"/>
      <c r="O11" s="516"/>
      <c r="P11" s="516"/>
      <c r="Q11" s="516"/>
      <c r="R11" s="1"/>
      <c r="S11" s="422"/>
      <c r="T11" s="422"/>
      <c r="U11" s="422"/>
      <c r="V11" s="422"/>
      <c r="W11" s="422"/>
      <c r="X11" s="422"/>
      <c r="Y11" s="422"/>
      <c r="Z11" s="422"/>
      <c r="AA11" s="422"/>
      <c r="AB11" s="422"/>
      <c r="AC11" s="422"/>
    </row>
    <row r="12" spans="1:29" s="4" customFormat="1" ht="6" customHeight="1" x14ac:dyDescent="0.25">
      <c r="A12" s="422"/>
      <c r="C12" s="346"/>
      <c r="D12" s="346"/>
      <c r="E12" s="346"/>
      <c r="F12" s="346"/>
      <c r="G12" s="346"/>
      <c r="H12" s="346"/>
      <c r="I12" s="346"/>
      <c r="J12" s="346"/>
      <c r="K12" s="346"/>
      <c r="L12" s="346"/>
      <c r="M12" s="346"/>
      <c r="N12" s="346"/>
      <c r="O12" s="346"/>
      <c r="P12" s="346"/>
      <c r="Q12" s="346"/>
      <c r="R12" s="1"/>
      <c r="S12" s="422"/>
      <c r="T12" s="422"/>
      <c r="U12" s="422"/>
      <c r="V12" s="422"/>
      <c r="W12" s="422"/>
      <c r="X12" s="422"/>
      <c r="Y12" s="422"/>
      <c r="Z12" s="422"/>
      <c r="AA12" s="422"/>
      <c r="AB12" s="422"/>
      <c r="AC12" s="422"/>
    </row>
    <row r="13" spans="1:29" s="4" customFormat="1" ht="15" customHeight="1" thickBot="1" x14ac:dyDescent="0.3">
      <c r="A13" s="422"/>
      <c r="C13" s="525" t="s">
        <v>178</v>
      </c>
      <c r="D13" s="525"/>
      <c r="E13" s="525"/>
      <c r="F13" s="525"/>
      <c r="G13" s="525"/>
      <c r="H13" s="525"/>
      <c r="I13" s="525"/>
      <c r="J13" s="525"/>
      <c r="K13" s="525"/>
      <c r="L13" s="525"/>
      <c r="M13" s="258"/>
      <c r="N13" s="1"/>
      <c r="O13" s="1"/>
      <c r="P13" s="1"/>
      <c r="Q13" s="1"/>
      <c r="R13" s="1"/>
      <c r="S13" s="422"/>
      <c r="T13" s="422"/>
      <c r="U13" s="422"/>
      <c r="V13" s="422"/>
      <c r="W13" s="422"/>
      <c r="X13" s="422"/>
      <c r="Y13" s="422"/>
      <c r="Z13" s="422"/>
      <c r="AA13" s="422"/>
      <c r="AB13" s="422"/>
      <c r="AC13" s="422"/>
    </row>
    <row r="14" spans="1:29" s="13" customFormat="1" ht="16.5" customHeight="1" thickBot="1" x14ac:dyDescent="0.4">
      <c r="A14" s="429"/>
      <c r="B14" s="161">
        <v>1</v>
      </c>
      <c r="C14" s="522" t="s">
        <v>680</v>
      </c>
      <c r="D14" s="523"/>
      <c r="E14" s="523"/>
      <c r="F14" s="523"/>
      <c r="G14" s="523"/>
      <c r="H14" s="524"/>
      <c r="I14" s="528"/>
      <c r="J14" s="528"/>
      <c r="K14" s="528"/>
      <c r="L14" s="528"/>
      <c r="M14" s="528"/>
      <c r="N14" s="528"/>
      <c r="O14" s="528"/>
      <c r="P14" s="528"/>
      <c r="Q14" s="529"/>
      <c r="S14" s="429"/>
      <c r="T14" s="429"/>
      <c r="U14" s="429"/>
      <c r="V14" s="429"/>
      <c r="W14" s="429"/>
      <c r="X14" s="429"/>
      <c r="Y14" s="429"/>
      <c r="Z14" s="429"/>
      <c r="AA14" s="429"/>
      <c r="AB14" s="429"/>
      <c r="AC14" s="429"/>
    </row>
    <row r="15" spans="1:29" s="13" customFormat="1" ht="6" customHeight="1" thickBot="1" x14ac:dyDescent="0.4">
      <c r="A15" s="429"/>
      <c r="B15" s="259"/>
      <c r="C15" s="186"/>
      <c r="D15" s="185"/>
      <c r="E15" s="186"/>
      <c r="F15" s="186"/>
      <c r="G15" s="186"/>
      <c r="H15" s="185"/>
      <c r="I15" s="187"/>
      <c r="J15" s="188"/>
      <c r="K15" s="188"/>
      <c r="L15" s="188"/>
      <c r="M15" s="188"/>
      <c r="N15" s="188"/>
      <c r="O15" s="188"/>
      <c r="P15" s="188"/>
      <c r="Q15" s="187"/>
      <c r="S15" s="429"/>
      <c r="T15" s="429"/>
      <c r="U15" s="429"/>
      <c r="V15" s="429"/>
      <c r="W15" s="429"/>
      <c r="X15" s="429"/>
      <c r="Y15" s="429"/>
      <c r="Z15" s="429"/>
      <c r="AA15" s="429"/>
      <c r="AB15" s="429"/>
      <c r="AC15" s="429"/>
    </row>
    <row r="16" spans="1:29" s="13" customFormat="1" ht="16.5" customHeight="1" thickBot="1" x14ac:dyDescent="0.4">
      <c r="A16" s="429"/>
      <c r="B16" s="259">
        <v>2</v>
      </c>
      <c r="C16" s="522" t="s">
        <v>378</v>
      </c>
      <c r="D16" s="523"/>
      <c r="E16" s="523"/>
      <c r="F16" s="523"/>
      <c r="G16" s="523"/>
      <c r="H16" s="524"/>
      <c r="I16" s="537" t="s">
        <v>68</v>
      </c>
      <c r="J16" s="538"/>
      <c r="K16" s="538"/>
      <c r="L16" s="538"/>
      <c r="M16" s="538"/>
      <c r="N16" s="538"/>
      <c r="O16" s="538"/>
      <c r="P16" s="538"/>
      <c r="Q16" s="539"/>
      <c r="S16" s="429"/>
      <c r="T16" s="562" t="str">
        <f>IF(OR(I16=menu!AF4),Texte!A24,IF(I16="Landkreis","Für Landkreise ist die Erstellung eines integrierten Vorreiterkonzeptes bzw. Fokuskonzeptes nur für die eigenen Zuständigkeiten möglich.",""))</f>
        <v/>
      </c>
      <c r="U16" s="562"/>
      <c r="V16" s="562"/>
      <c r="W16" s="562"/>
      <c r="X16" s="562"/>
      <c r="Y16" s="429"/>
      <c r="Z16" s="429"/>
      <c r="AA16" s="429"/>
      <c r="AB16" s="429"/>
      <c r="AC16" s="429"/>
    </row>
    <row r="17" spans="1:29" s="13" customFormat="1" ht="6" customHeight="1" thickBot="1" x14ac:dyDescent="0.4">
      <c r="A17" s="429"/>
      <c r="B17" s="259"/>
      <c r="C17" s="186"/>
      <c r="D17" s="185"/>
      <c r="E17" s="186"/>
      <c r="F17" s="186"/>
      <c r="G17" s="186"/>
      <c r="H17" s="185"/>
      <c r="I17" s="187"/>
      <c r="J17" s="188"/>
      <c r="K17" s="188"/>
      <c r="L17" s="188"/>
      <c r="M17" s="188"/>
      <c r="N17" s="188"/>
      <c r="O17" s="188"/>
      <c r="P17" s="188"/>
      <c r="Q17" s="187"/>
      <c r="S17" s="429"/>
      <c r="T17" s="562"/>
      <c r="U17" s="562"/>
      <c r="V17" s="562"/>
      <c r="W17" s="562"/>
      <c r="X17" s="562"/>
      <c r="Y17" s="429"/>
      <c r="Z17" s="429"/>
      <c r="AA17" s="429"/>
      <c r="AB17" s="429"/>
      <c r="AC17" s="429"/>
    </row>
    <row r="18" spans="1:29" s="13" customFormat="1" ht="16.5" customHeight="1" thickBot="1" x14ac:dyDescent="0.4">
      <c r="A18" s="429"/>
      <c r="B18" s="259">
        <f>IF($I$16=menu!$AF$5,3,B16+1)</f>
        <v>3</v>
      </c>
      <c r="C18" s="522" t="s">
        <v>393</v>
      </c>
      <c r="D18" s="523"/>
      <c r="E18" s="523"/>
      <c r="F18" s="523"/>
      <c r="G18" s="523"/>
      <c r="H18" s="524"/>
      <c r="I18" s="528"/>
      <c r="J18" s="528"/>
      <c r="K18" s="528"/>
      <c r="L18" s="528"/>
      <c r="M18" s="528"/>
      <c r="N18" s="528"/>
      <c r="O18" s="528"/>
      <c r="P18" s="528"/>
      <c r="Q18" s="529"/>
      <c r="S18" s="429"/>
      <c r="T18" s="562"/>
      <c r="U18" s="562"/>
      <c r="V18" s="562"/>
      <c r="W18" s="562"/>
      <c r="X18" s="562"/>
      <c r="Y18" s="429"/>
      <c r="Z18" s="429"/>
      <c r="AA18" s="429"/>
      <c r="AB18" s="429"/>
      <c r="AC18" s="429"/>
    </row>
    <row r="19" spans="1:29" s="13" customFormat="1" ht="6" customHeight="1" thickBot="1" x14ac:dyDescent="0.4">
      <c r="A19" s="429"/>
      <c r="B19" s="259"/>
      <c r="C19" s="186"/>
      <c r="D19" s="185"/>
      <c r="E19" s="186"/>
      <c r="F19" s="186"/>
      <c r="G19" s="186"/>
      <c r="H19" s="185"/>
      <c r="I19" s="187"/>
      <c r="J19" s="188"/>
      <c r="K19" s="188"/>
      <c r="L19" s="326"/>
      <c r="M19" s="326"/>
      <c r="N19" s="326"/>
      <c r="O19" s="326"/>
      <c r="P19" s="326"/>
      <c r="Q19" s="326"/>
      <c r="S19" s="429"/>
      <c r="T19" s="562"/>
      <c r="U19" s="562"/>
      <c r="V19" s="562"/>
      <c r="W19" s="562"/>
      <c r="X19" s="562"/>
      <c r="Y19" s="429"/>
      <c r="Z19" s="429"/>
      <c r="AA19" s="429"/>
      <c r="AB19" s="429"/>
      <c r="AC19" s="429"/>
    </row>
    <row r="20" spans="1:29" s="13" customFormat="1" ht="16.5" customHeight="1" thickBot="1" x14ac:dyDescent="0.4">
      <c r="A20" s="429"/>
      <c r="B20" s="259">
        <f>IF(OR($I$16=menu!$AF$2,$I$16=menu!$AF$6,$I$16=menu!$AF$7,$I$16=menu!$AF$8,$I$16=menu!$AF$9,$I$16=menu!$AF$10,$I$16=menu!$AF$11,$I$16=menu!$AF$12),2,B16+1)</f>
        <v>2</v>
      </c>
      <c r="C20" s="522" t="s">
        <v>394</v>
      </c>
      <c r="D20" s="523"/>
      <c r="E20" s="523"/>
      <c r="F20" s="523"/>
      <c r="G20" s="523"/>
      <c r="H20" s="524"/>
      <c r="I20" s="540"/>
      <c r="J20" s="541"/>
      <c r="K20" s="542"/>
      <c r="L20" s="29"/>
      <c r="M20" s="29"/>
      <c r="N20" s="29"/>
      <c r="O20" s="29"/>
      <c r="P20" s="29"/>
      <c r="Q20" s="29"/>
      <c r="S20" s="429"/>
      <c r="T20" s="562"/>
      <c r="U20" s="562"/>
      <c r="V20" s="562"/>
      <c r="W20" s="562"/>
      <c r="X20" s="562"/>
      <c r="Y20" s="429"/>
      <c r="Z20" s="429"/>
      <c r="AA20" s="429"/>
      <c r="AB20" s="429"/>
      <c r="AC20" s="429"/>
    </row>
    <row r="21" spans="1:29" s="13" customFormat="1" ht="6" customHeight="1" thickBot="1" x14ac:dyDescent="0.4">
      <c r="A21" s="429"/>
      <c r="B21" s="259"/>
      <c r="C21" s="186"/>
      <c r="D21" s="185"/>
      <c r="E21" s="186"/>
      <c r="F21" s="186"/>
      <c r="G21" s="186"/>
      <c r="H21" s="185"/>
      <c r="I21" s="187"/>
      <c r="J21" s="188"/>
      <c r="K21" s="188"/>
      <c r="L21" s="188"/>
      <c r="M21" s="188"/>
      <c r="N21" s="188"/>
      <c r="O21" s="188"/>
      <c r="P21" s="188"/>
      <c r="Q21" s="327"/>
      <c r="S21" s="429"/>
      <c r="T21" s="562"/>
      <c r="U21" s="562"/>
      <c r="V21" s="562"/>
      <c r="W21" s="562"/>
      <c r="X21" s="562"/>
      <c r="Y21" s="429"/>
      <c r="Z21" s="429"/>
      <c r="AA21" s="429"/>
      <c r="AB21" s="429"/>
      <c r="AC21" s="429"/>
    </row>
    <row r="22" spans="1:29" s="4" customFormat="1" ht="31.5" customHeight="1" thickBot="1" x14ac:dyDescent="0.3">
      <c r="A22" s="422"/>
      <c r="B22" s="161">
        <f>B20+1</f>
        <v>3</v>
      </c>
      <c r="C22" s="522" t="s">
        <v>177</v>
      </c>
      <c r="D22" s="523"/>
      <c r="E22" s="523"/>
      <c r="F22" s="523"/>
      <c r="G22" s="523"/>
      <c r="H22" s="524"/>
      <c r="I22" s="534"/>
      <c r="J22" s="535"/>
      <c r="K22" s="535"/>
      <c r="L22" s="535"/>
      <c r="M22" s="535"/>
      <c r="N22" s="535"/>
      <c r="O22" s="535"/>
      <c r="P22" s="535"/>
      <c r="Q22" s="536"/>
      <c r="R22" s="1"/>
      <c r="S22" s="422"/>
      <c r="T22" s="562"/>
      <c r="U22" s="562"/>
      <c r="V22" s="562"/>
      <c r="W22" s="562"/>
      <c r="X22" s="562"/>
      <c r="Y22" s="422"/>
      <c r="Z22" s="422"/>
      <c r="AA22" s="422"/>
      <c r="AB22" s="422"/>
      <c r="AC22" s="422"/>
    </row>
    <row r="23" spans="1:29" s="4" customFormat="1" ht="6" customHeight="1" x14ac:dyDescent="0.25">
      <c r="A23" s="422"/>
      <c r="B23" s="259"/>
      <c r="C23" s="544"/>
      <c r="D23" s="544"/>
      <c r="E23" s="544"/>
      <c r="F23" s="544"/>
      <c r="G23" s="544"/>
      <c r="H23" s="544"/>
      <c r="I23" s="544"/>
      <c r="J23" s="544"/>
      <c r="K23" s="544"/>
      <c r="L23" s="1"/>
      <c r="M23" s="1"/>
      <c r="N23" s="1"/>
      <c r="O23" s="1"/>
      <c r="P23" s="1"/>
      <c r="Q23" s="1"/>
      <c r="R23" s="1"/>
      <c r="S23" s="422"/>
      <c r="T23" s="422"/>
      <c r="U23" s="422"/>
      <c r="V23" s="422"/>
      <c r="W23" s="422"/>
      <c r="X23" s="422"/>
      <c r="Y23" s="422"/>
      <c r="Z23" s="422"/>
      <c r="AA23" s="422"/>
      <c r="AB23" s="422"/>
      <c r="AC23" s="422"/>
    </row>
    <row r="24" spans="1:29" s="4" customFormat="1" ht="12.75" customHeight="1" x14ac:dyDescent="0.25">
      <c r="A24" s="422"/>
      <c r="B24" s="259"/>
      <c r="C24" s="530" t="str">
        <f>IF(I27=menu!A105,Texte!C13,IF(I27="kommunale Wärmeplanung",Texte!E13,IF(I27=menu!A102,"Hinweis:",Texte!D13)))</f>
        <v>Hinweis:</v>
      </c>
      <c r="D24" s="530"/>
      <c r="E24" s="530"/>
      <c r="F24" s="530"/>
      <c r="G24" s="530"/>
      <c r="H24" s="530"/>
      <c r="I24" s="530"/>
      <c r="J24" s="530"/>
      <c r="K24" s="530"/>
      <c r="L24" s="530"/>
      <c r="M24" s="530"/>
      <c r="N24" s="530"/>
      <c r="O24" s="530"/>
      <c r="P24" s="530"/>
      <c r="Q24" s="530"/>
      <c r="R24" s="1"/>
      <c r="S24" s="422"/>
      <c r="T24" s="422"/>
      <c r="U24" s="422"/>
      <c r="V24" s="422"/>
      <c r="W24" s="422"/>
      <c r="X24" s="422"/>
      <c r="Y24" s="422"/>
      <c r="Z24" s="422"/>
      <c r="AA24" s="422"/>
      <c r="AB24" s="422"/>
      <c r="AC24" s="422"/>
    </row>
    <row r="25" spans="1:29" s="4" customFormat="1" ht="100.5" customHeight="1" x14ac:dyDescent="0.25">
      <c r="A25" s="422"/>
      <c r="B25" s="259"/>
      <c r="C25" s="545" t="str">
        <f>IF(I27=menu!A102,Texte!B28,Texte!D12)</f>
        <v xml:space="preserve">Bitte füllen Sie alle für Ihren Vorhabentyp angezeigten Tabellenblätter aus. In dringenden Notfällen können Sie sich auch an die Beratungshotline nki-kommunalrichtlinie@z-u-g.org oder telefonisch an die 030 700 181-880 wenden. </v>
      </c>
      <c r="D25" s="545"/>
      <c r="E25" s="545"/>
      <c r="F25" s="545"/>
      <c r="G25" s="545"/>
      <c r="H25" s="545"/>
      <c r="I25" s="545"/>
      <c r="J25" s="545"/>
      <c r="K25" s="545"/>
      <c r="L25" s="545"/>
      <c r="M25" s="545"/>
      <c r="N25" s="545"/>
      <c r="O25" s="545"/>
      <c r="P25" s="545"/>
      <c r="Q25" s="545"/>
      <c r="R25" s="1"/>
      <c r="S25" s="422"/>
      <c r="T25" s="422"/>
      <c r="U25" s="422"/>
      <c r="V25" s="422"/>
      <c r="W25" s="430"/>
      <c r="X25" s="430"/>
      <c r="Y25" s="430"/>
      <c r="Z25" s="422"/>
      <c r="AA25" s="422"/>
      <c r="AB25" s="422"/>
      <c r="AC25" s="422"/>
    </row>
    <row r="26" spans="1:29" s="4" customFormat="1" ht="6" customHeight="1" thickBot="1" x14ac:dyDescent="0.3">
      <c r="A26" s="422"/>
      <c r="B26" s="259"/>
      <c r="C26" s="415"/>
      <c r="D26" s="415"/>
      <c r="E26" s="415"/>
      <c r="F26" s="415"/>
      <c r="G26" s="415"/>
      <c r="H26" s="415"/>
      <c r="I26" s="415"/>
      <c r="J26" s="415"/>
      <c r="K26" s="415"/>
      <c r="L26" s="1"/>
      <c r="M26" s="1"/>
      <c r="N26" s="1"/>
      <c r="O26" s="1"/>
      <c r="P26" s="1"/>
      <c r="Q26" s="1"/>
      <c r="R26" s="1"/>
      <c r="S26" s="422"/>
      <c r="T26" s="422"/>
      <c r="U26" s="422"/>
      <c r="V26" s="422"/>
      <c r="W26" s="430"/>
      <c r="X26" s="430"/>
      <c r="Y26" s="430"/>
      <c r="Z26" s="422"/>
      <c r="AA26" s="422"/>
      <c r="AB26" s="422"/>
      <c r="AC26" s="422"/>
    </row>
    <row r="27" spans="1:29" s="4" customFormat="1" ht="16.5" customHeight="1" thickBot="1" x14ac:dyDescent="0.3">
      <c r="A27" s="422"/>
      <c r="B27" s="259">
        <f>B22+1</f>
        <v>4</v>
      </c>
      <c r="C27" s="522" t="s">
        <v>598</v>
      </c>
      <c r="D27" s="523"/>
      <c r="E27" s="523"/>
      <c r="F27" s="523"/>
      <c r="G27" s="523"/>
      <c r="H27" s="524"/>
      <c r="I27" s="518" t="s">
        <v>68</v>
      </c>
      <c r="J27" s="519"/>
      <c r="K27" s="519"/>
      <c r="L27" s="519"/>
      <c r="M27" s="520"/>
      <c r="N27" s="233"/>
      <c r="O27" s="233"/>
      <c r="P27" s="233"/>
      <c r="Q27" s="233"/>
      <c r="R27" s="1"/>
      <c r="S27" s="422"/>
      <c r="T27" s="422"/>
      <c r="U27" s="422"/>
      <c r="V27" s="422"/>
      <c r="W27" s="430"/>
      <c r="X27" s="430"/>
      <c r="Y27" s="430"/>
      <c r="Z27" s="422"/>
      <c r="AA27" s="422"/>
      <c r="AB27" s="422"/>
      <c r="AC27" s="422"/>
    </row>
    <row r="28" spans="1:29" s="4" customFormat="1" ht="6" customHeight="1" thickBot="1" x14ac:dyDescent="0.3">
      <c r="A28" s="422"/>
      <c r="B28" s="259"/>
      <c r="C28" s="228"/>
      <c r="D28" s="228"/>
      <c r="E28" s="228"/>
      <c r="F28" s="228"/>
      <c r="G28" s="228"/>
      <c r="H28" s="228"/>
      <c r="I28" s="228"/>
      <c r="J28" s="228"/>
      <c r="K28" s="228"/>
      <c r="L28" s="1"/>
      <c r="M28" s="1"/>
      <c r="N28" s="1"/>
      <c r="O28" s="1"/>
      <c r="P28" s="1"/>
      <c r="Q28" s="1"/>
      <c r="R28" s="1"/>
      <c r="S28" s="422"/>
      <c r="T28" s="422"/>
      <c r="U28" s="422"/>
      <c r="V28" s="422"/>
      <c r="W28" s="430"/>
      <c r="X28" s="430"/>
      <c r="Y28" s="430"/>
      <c r="Z28" s="422"/>
      <c r="AA28" s="422"/>
      <c r="AB28" s="422"/>
      <c r="AC28" s="422"/>
    </row>
    <row r="29" spans="1:29" s="4" customFormat="1" ht="27" customHeight="1" thickBot="1" x14ac:dyDescent="0.3">
      <c r="A29" s="422"/>
      <c r="B29" s="259">
        <f>B27+1</f>
        <v>5</v>
      </c>
      <c r="C29" s="418"/>
      <c r="D29" s="419"/>
      <c r="E29" s="526" t="str">
        <f>IF(I27="kommunale Wärmeplanung",menu!B104,"Hiermit bestätigen wir, dass bisher noch kein "&amp;I27&amp;" erstellt wurde.")</f>
        <v>Hiermit bestätigen wir, dass bisher noch kein bitte auswählen erstellt wurde.</v>
      </c>
      <c r="F29" s="526"/>
      <c r="G29" s="526"/>
      <c r="H29" s="526"/>
      <c r="I29" s="526"/>
      <c r="J29" s="526"/>
      <c r="K29" s="526"/>
      <c r="L29" s="526"/>
      <c r="M29" s="526"/>
      <c r="N29" s="526"/>
      <c r="O29" s="526"/>
      <c r="P29" s="526"/>
      <c r="Q29" s="527"/>
      <c r="R29" s="1"/>
      <c r="S29" s="422"/>
      <c r="T29" s="422"/>
      <c r="U29" s="422"/>
      <c r="V29" s="422"/>
      <c r="W29" s="430"/>
      <c r="X29" s="430"/>
      <c r="Y29" s="430"/>
      <c r="Z29" s="422"/>
      <c r="AA29" s="422"/>
      <c r="AB29" s="422"/>
      <c r="AC29" s="422"/>
    </row>
    <row r="30" spans="1:29" s="4" customFormat="1" ht="6" customHeight="1" x14ac:dyDescent="0.25">
      <c r="A30" s="422"/>
      <c r="B30" s="259"/>
      <c r="C30" s="228"/>
      <c r="D30" s="228"/>
      <c r="E30" s="228"/>
      <c r="F30" s="228"/>
      <c r="G30" s="228"/>
      <c r="H30" s="228"/>
      <c r="I30" s="228"/>
      <c r="J30" s="228"/>
      <c r="K30" s="228"/>
      <c r="L30" s="1"/>
      <c r="M30" s="1"/>
      <c r="N30" s="1"/>
      <c r="O30" s="1"/>
      <c r="P30" s="1"/>
      <c r="Q30" s="1"/>
      <c r="R30" s="1"/>
      <c r="S30" s="422"/>
      <c r="T30" s="422"/>
      <c r="U30" s="422"/>
      <c r="V30" s="422"/>
      <c r="W30" s="430"/>
      <c r="X30" s="430"/>
      <c r="Y30" s="430"/>
      <c r="Z30" s="422"/>
      <c r="AA30" s="422"/>
      <c r="AB30" s="422"/>
      <c r="AC30" s="422"/>
    </row>
    <row r="31" spans="1:29" s="4" customFormat="1" ht="39" customHeight="1" x14ac:dyDescent="0.25">
      <c r="A31" s="422"/>
      <c r="B31" s="259"/>
      <c r="C31" s="521"/>
      <c r="D31" s="521"/>
      <c r="E31" s="521"/>
      <c r="F31" s="521"/>
      <c r="G31" s="521"/>
      <c r="H31" s="521"/>
      <c r="I31" s="521"/>
      <c r="J31" s="521"/>
      <c r="K31" s="521"/>
      <c r="L31" s="521"/>
      <c r="M31" s="521"/>
      <c r="N31" s="521"/>
      <c r="O31" s="521"/>
      <c r="P31" s="521"/>
      <c r="Q31" s="521"/>
      <c r="R31" s="1"/>
      <c r="S31" s="422"/>
      <c r="T31" s="422"/>
      <c r="U31" s="422"/>
      <c r="V31" s="422"/>
      <c r="W31" s="430"/>
      <c r="X31" s="430"/>
      <c r="Y31" s="430"/>
      <c r="Z31" s="422"/>
      <c r="AA31" s="422"/>
      <c r="AB31" s="422"/>
      <c r="AC31" s="422"/>
    </row>
    <row r="32" spans="1:29" s="4" customFormat="1" ht="6" customHeight="1" x14ac:dyDescent="0.25">
      <c r="A32" s="422"/>
      <c r="B32" s="259"/>
      <c r="C32" s="228"/>
      <c r="D32" s="228"/>
      <c r="E32" s="228"/>
      <c r="F32" s="228"/>
      <c r="G32" s="228"/>
      <c r="H32" s="228"/>
      <c r="I32" s="228"/>
      <c r="J32" s="228"/>
      <c r="K32" s="228"/>
      <c r="L32" s="1"/>
      <c r="M32" s="1"/>
      <c r="N32" s="1"/>
      <c r="O32" s="1"/>
      <c r="P32" s="1"/>
      <c r="Q32" s="1"/>
      <c r="R32" s="1"/>
      <c r="S32" s="422"/>
      <c r="T32" s="422"/>
      <c r="U32" s="422"/>
      <c r="V32" s="422"/>
      <c r="W32" s="430"/>
      <c r="X32" s="430"/>
      <c r="Y32" s="430"/>
      <c r="Z32" s="422"/>
      <c r="AA32" s="422"/>
      <c r="AB32" s="422"/>
      <c r="AC32" s="422"/>
    </row>
    <row r="33" spans="1:29" s="4" customFormat="1" ht="16.5" customHeight="1" x14ac:dyDescent="0.25">
      <c r="A33" s="422"/>
      <c r="B33" s="259"/>
      <c r="C33" s="512"/>
      <c r="D33" s="512"/>
      <c r="E33" s="512"/>
      <c r="F33" s="512"/>
      <c r="G33" s="512"/>
      <c r="H33" s="512"/>
      <c r="I33" s="512"/>
      <c r="J33" s="512"/>
      <c r="K33" s="512"/>
      <c r="L33" s="512"/>
      <c r="M33" s="512"/>
      <c r="N33" s="482"/>
      <c r="O33" s="515" t="str">
        <f>IF(N33&gt;menu!A148,"Das vorliegende Konzept ist zu neu!","")</f>
        <v/>
      </c>
      <c r="P33" s="515"/>
      <c r="Q33" s="515"/>
      <c r="R33" s="1"/>
      <c r="S33" s="422"/>
      <c r="T33" s="422"/>
      <c r="U33" s="422"/>
      <c r="V33" s="422"/>
      <c r="W33" s="430"/>
      <c r="X33" s="430"/>
      <c r="Y33" s="430"/>
      <c r="Z33" s="422"/>
      <c r="AA33" s="422"/>
      <c r="AB33" s="422"/>
      <c r="AC33" s="422"/>
    </row>
    <row r="34" spans="1:29" s="4" customFormat="1" ht="6" customHeight="1" x14ac:dyDescent="0.25">
      <c r="A34" s="422"/>
      <c r="B34" s="259"/>
      <c r="C34" s="228"/>
      <c r="D34" s="228"/>
      <c r="E34" s="228"/>
      <c r="F34" s="228"/>
      <c r="G34" s="228"/>
      <c r="H34" s="228"/>
      <c r="I34" s="228"/>
      <c r="J34" s="228"/>
      <c r="K34" s="228"/>
      <c r="L34" s="1"/>
      <c r="M34" s="1"/>
      <c r="N34" s="1"/>
      <c r="O34" s="1"/>
      <c r="P34" s="1"/>
      <c r="Q34" s="1"/>
      <c r="R34" s="1"/>
      <c r="S34" s="422"/>
      <c r="T34" s="422"/>
      <c r="U34" s="422"/>
      <c r="V34" s="422"/>
      <c r="W34" s="430"/>
      <c r="X34" s="430"/>
      <c r="Y34" s="430"/>
      <c r="Z34" s="422"/>
      <c r="AA34" s="422"/>
      <c r="AB34" s="422"/>
      <c r="AC34" s="422"/>
    </row>
    <row r="35" spans="1:29" s="4" customFormat="1" ht="13.5" customHeight="1" thickBot="1" x14ac:dyDescent="0.3">
      <c r="A35" s="422"/>
      <c r="C35" s="553" t="s">
        <v>315</v>
      </c>
      <c r="D35" s="553"/>
      <c r="E35" s="553"/>
      <c r="F35" s="553"/>
      <c r="G35" s="553"/>
      <c r="H35" s="553"/>
      <c r="I35" s="553"/>
      <c r="J35" s="553"/>
      <c r="K35" s="553"/>
      <c r="L35" s="1"/>
      <c r="M35" s="1"/>
      <c r="N35" s="1"/>
      <c r="O35" s="1"/>
      <c r="P35" s="1"/>
      <c r="Q35" s="1"/>
      <c r="R35" s="1"/>
      <c r="S35" s="422"/>
      <c r="T35" s="422"/>
      <c r="U35" s="422"/>
      <c r="V35" s="422"/>
      <c r="W35" s="430"/>
      <c r="X35" s="430"/>
      <c r="Y35" s="430"/>
      <c r="Z35" s="422"/>
      <c r="AA35" s="422"/>
      <c r="AB35" s="422"/>
      <c r="AC35" s="422"/>
    </row>
    <row r="36" spans="1:29" s="4" customFormat="1" ht="16.5" customHeight="1" thickBot="1" x14ac:dyDescent="0.3">
      <c r="A36" s="422"/>
      <c r="B36" s="259">
        <f>IF(I27="bitte auswählen",B27+1,B29+1)</f>
        <v>5</v>
      </c>
      <c r="C36" s="554" t="s">
        <v>315</v>
      </c>
      <c r="D36" s="555"/>
      <c r="E36" s="555"/>
      <c r="F36" s="555"/>
      <c r="G36" s="555"/>
      <c r="H36" s="555"/>
      <c r="I36" s="558"/>
      <c r="J36" s="559"/>
      <c r="K36" s="260" t="s">
        <v>636</v>
      </c>
      <c r="L36" s="556" t="str">
        <f>IF(I36=0,"",IF((DAY(I36)=1),EOMONTH(I36,menu!J47),EDATE(I36,(menu!J47+1))))</f>
        <v/>
      </c>
      <c r="M36" s="557"/>
      <c r="N36" s="8">
        <f ca="1">IF(DAY(I36)&lt;&gt;1,1,IF(AND(I36&lt;DATE(YEAR(TODAY()),MONTH(TODAY())+7,1)),1,""))</f>
        <v>1</v>
      </c>
      <c r="O36" s="345" t="str">
        <f ca="1">IF(DAY(I36)&lt;&gt;1,"Projektstart ist immer der Monatserste!",IF(AND(I36&lt;DATE(YEAR(TODAY()),MONTH(TODAY())+7,1)),IF(I36&lt;&gt;0,"Achtung: min. 6 Monate bis Projektstart!",""),""))</f>
        <v>Projektstart ist immer der Monatserste!</v>
      </c>
      <c r="P36" s="1"/>
      <c r="Q36" s="355"/>
      <c r="R36" s="1"/>
      <c r="S36" s="422"/>
      <c r="T36" s="422"/>
      <c r="U36" s="422"/>
      <c r="V36" s="422"/>
      <c r="W36" s="422"/>
      <c r="X36" s="422"/>
      <c r="Y36" s="422"/>
      <c r="Z36" s="422"/>
      <c r="AA36" s="422"/>
      <c r="AB36" s="422"/>
      <c r="AC36" s="422"/>
    </row>
    <row r="37" spans="1:29" s="4" customFormat="1" ht="11.25" customHeight="1" x14ac:dyDescent="0.25">
      <c r="A37" s="422"/>
      <c r="C37" s="228"/>
      <c r="D37" s="228"/>
      <c r="E37" s="228"/>
      <c r="F37" s="228"/>
      <c r="G37" s="228"/>
      <c r="H37" s="228"/>
      <c r="I37" s="228"/>
      <c r="J37" s="228"/>
      <c r="K37" s="228"/>
      <c r="L37" s="1"/>
      <c r="M37" s="1"/>
      <c r="N37" s="1"/>
      <c r="O37" s="1"/>
      <c r="P37" s="1"/>
      <c r="Q37" s="1"/>
      <c r="R37" s="1"/>
      <c r="S37" s="422"/>
      <c r="T37" s="422"/>
      <c r="U37" s="422"/>
      <c r="V37" s="422"/>
      <c r="W37" s="422"/>
      <c r="X37" s="422"/>
      <c r="Y37" s="422"/>
      <c r="Z37" s="422"/>
      <c r="AA37" s="422"/>
      <c r="AB37" s="422"/>
      <c r="AC37" s="422"/>
    </row>
    <row r="38" spans="1:29" s="4" customFormat="1" ht="11.25" customHeight="1" x14ac:dyDescent="0.25">
      <c r="A38" s="422"/>
      <c r="C38" s="546" t="s">
        <v>9</v>
      </c>
      <c r="D38" s="547"/>
      <c r="E38" s="547"/>
      <c r="F38" s="547"/>
      <c r="G38" s="547"/>
      <c r="H38" s="547"/>
      <c r="I38" s="547"/>
      <c r="J38" s="547"/>
      <c r="K38" s="547"/>
      <c r="L38" s="547"/>
      <c r="M38" s="547"/>
      <c r="N38" s="547"/>
      <c r="O38" s="547"/>
      <c r="P38" s="547"/>
      <c r="Q38" s="548"/>
      <c r="R38" s="1"/>
      <c r="S38" s="422"/>
      <c r="T38" s="422"/>
      <c r="U38" s="422"/>
      <c r="V38" s="422"/>
      <c r="W38" s="422"/>
      <c r="X38" s="422"/>
      <c r="Y38" s="422"/>
      <c r="Z38" s="422"/>
      <c r="AA38" s="422"/>
      <c r="AB38" s="422"/>
      <c r="AC38" s="422"/>
    </row>
    <row r="39" spans="1:29" s="4" customFormat="1" ht="26.25" customHeight="1" x14ac:dyDescent="0.25">
      <c r="A39" s="422"/>
      <c r="C39" s="549" t="str">
        <f>Texte!B27</f>
        <v>Bitte planen Sie den Projektstart frühestens 6 Monate nach Antragstellung ein. Der Projektstart sollte möglichst immer der Monatserste sein.</v>
      </c>
      <c r="D39" s="550"/>
      <c r="E39" s="550"/>
      <c r="F39" s="550"/>
      <c r="G39" s="550"/>
      <c r="H39" s="550"/>
      <c r="I39" s="550"/>
      <c r="J39" s="550"/>
      <c r="K39" s="550"/>
      <c r="L39" s="550"/>
      <c r="M39" s="550"/>
      <c r="N39" s="550"/>
      <c r="O39" s="550"/>
      <c r="P39" s="550"/>
      <c r="Q39" s="551"/>
      <c r="R39" s="1"/>
      <c r="S39" s="422"/>
      <c r="T39" s="422"/>
      <c r="U39" s="422"/>
      <c r="V39" s="422"/>
      <c r="W39" s="422"/>
      <c r="X39" s="422"/>
      <c r="Y39" s="422"/>
      <c r="Z39" s="422"/>
      <c r="AA39" s="422"/>
      <c r="AB39" s="422"/>
      <c r="AC39" s="422"/>
    </row>
    <row r="40" spans="1:29" s="4" customFormat="1" ht="6" customHeight="1" x14ac:dyDescent="0.25">
      <c r="A40" s="422"/>
      <c r="C40" s="228"/>
      <c r="D40" s="228"/>
      <c r="E40" s="228"/>
      <c r="F40" s="228"/>
      <c r="G40" s="228"/>
      <c r="H40" s="228"/>
      <c r="I40" s="228"/>
      <c r="J40" s="228"/>
      <c r="K40" s="228"/>
      <c r="L40" s="1"/>
      <c r="M40" s="1"/>
      <c r="N40" s="1"/>
      <c r="O40" s="1"/>
      <c r="P40" s="1"/>
      <c r="Q40" s="1"/>
      <c r="R40" s="1"/>
      <c r="S40" s="422"/>
      <c r="T40" s="422"/>
      <c r="U40" s="422"/>
      <c r="V40" s="422"/>
      <c r="W40" s="422"/>
      <c r="X40" s="422"/>
      <c r="Y40" s="422"/>
      <c r="Z40" s="422"/>
      <c r="AA40" s="422"/>
      <c r="AB40" s="422"/>
      <c r="AC40" s="422"/>
    </row>
    <row r="41" spans="1:29" ht="12.75" customHeight="1" x14ac:dyDescent="0.25">
      <c r="A41" s="421"/>
      <c r="S41" s="421"/>
      <c r="T41" s="421"/>
      <c r="U41" s="421"/>
      <c r="V41" s="421"/>
      <c r="W41" s="421"/>
      <c r="X41" s="421"/>
      <c r="Y41" s="421"/>
      <c r="Z41" s="421"/>
      <c r="AA41" s="421"/>
      <c r="AB41" s="421"/>
      <c r="AC41" s="421"/>
    </row>
    <row r="42" spans="1:29" ht="12.75" customHeight="1" x14ac:dyDescent="0.25">
      <c r="A42" s="421"/>
      <c r="C42" s="552"/>
      <c r="D42" s="552"/>
      <c r="E42" s="552"/>
      <c r="F42" s="552"/>
      <c r="G42" s="552"/>
      <c r="H42" s="552"/>
      <c r="I42" s="552"/>
      <c r="J42" s="552"/>
      <c r="K42" s="552"/>
      <c r="L42" s="552"/>
      <c r="N42" s="560"/>
      <c r="O42" s="560"/>
      <c r="P42" s="560"/>
      <c r="Q42" s="560"/>
      <c r="S42" s="421"/>
      <c r="T42" s="421"/>
      <c r="U42" s="421"/>
      <c r="V42" s="421"/>
      <c r="W42" s="421"/>
      <c r="X42" s="421"/>
      <c r="Y42" s="421"/>
      <c r="Z42" s="421"/>
      <c r="AA42" s="421"/>
      <c r="AB42" s="421"/>
      <c r="AC42" s="421"/>
    </row>
    <row r="43" spans="1:29" ht="12.75" customHeight="1" x14ac:dyDescent="0.25">
      <c r="A43" s="421"/>
      <c r="C43" s="552"/>
      <c r="D43" s="552"/>
      <c r="E43" s="552"/>
      <c r="F43" s="552"/>
      <c r="G43" s="552"/>
      <c r="H43" s="552"/>
      <c r="I43" s="552"/>
      <c r="J43" s="552"/>
      <c r="K43" s="552"/>
      <c r="L43" s="552"/>
      <c r="N43" s="560"/>
      <c r="O43" s="560"/>
      <c r="P43" s="560"/>
      <c r="Q43" s="560"/>
      <c r="S43" s="421"/>
      <c r="T43" s="421"/>
      <c r="U43" s="421"/>
      <c r="V43" s="421"/>
      <c r="W43" s="421"/>
      <c r="X43" s="421"/>
      <c r="Y43" s="421"/>
      <c r="Z43" s="421"/>
      <c r="AA43" s="421"/>
      <c r="AB43" s="421"/>
      <c r="AC43" s="421"/>
    </row>
    <row r="44" spans="1:29" ht="66" customHeight="1" x14ac:dyDescent="0.25">
      <c r="A44" s="421"/>
      <c r="C44" s="552"/>
      <c r="D44" s="552"/>
      <c r="E44" s="552"/>
      <c r="F44" s="552"/>
      <c r="G44" s="552"/>
      <c r="H44" s="552"/>
      <c r="I44" s="552"/>
      <c r="J44" s="552"/>
      <c r="K44" s="552"/>
      <c r="L44" s="552"/>
      <c r="S44" s="421"/>
      <c r="T44" s="421"/>
      <c r="U44" s="421"/>
      <c r="V44" s="421"/>
      <c r="W44" s="421"/>
      <c r="X44" s="421"/>
      <c r="Y44" s="421"/>
      <c r="Z44" s="421"/>
      <c r="AA44" s="421"/>
      <c r="AB44" s="421"/>
      <c r="AC44" s="421"/>
    </row>
    <row r="45" spans="1:29" ht="18" customHeight="1" x14ac:dyDescent="0.25">
      <c r="A45" s="421"/>
      <c r="N45" s="496"/>
      <c r="P45" s="4"/>
      <c r="Q45" s="4"/>
      <c r="S45" s="421"/>
      <c r="T45" s="421"/>
      <c r="U45" s="421"/>
      <c r="V45" s="421"/>
      <c r="W45" s="421"/>
      <c r="X45" s="421"/>
      <c r="Y45" s="421"/>
      <c r="Z45" s="421"/>
      <c r="AA45" s="421"/>
      <c r="AB45" s="421"/>
      <c r="AC45" s="421"/>
    </row>
    <row r="46" spans="1:29" x14ac:dyDescent="0.25">
      <c r="A46" s="421"/>
      <c r="C46" s="561" t="str">
        <f>C3&amp;" 2509_V3"</f>
        <v>Vorhabenbeschreibung 
4.1.10 a): Erstellung eines 
Fokuskonzeptes 2509_V3</v>
      </c>
      <c r="D46" s="561"/>
      <c r="E46" s="561"/>
      <c r="F46" s="561"/>
      <c r="G46" s="561"/>
      <c r="H46" s="561"/>
      <c r="I46" s="561"/>
      <c r="J46" s="561"/>
      <c r="K46" s="561"/>
      <c r="L46" s="561"/>
      <c r="M46" s="561"/>
      <c r="N46" s="561"/>
      <c r="O46" s="561"/>
      <c r="P46" s="561"/>
      <c r="Q46" s="561"/>
      <c r="S46" s="421"/>
      <c r="T46" s="421"/>
      <c r="U46" s="421"/>
      <c r="V46" s="421"/>
      <c r="W46" s="421"/>
      <c r="X46" s="421"/>
      <c r="Y46" s="421"/>
      <c r="Z46" s="421"/>
      <c r="AA46" s="421"/>
      <c r="AB46" s="421"/>
      <c r="AC46" s="421"/>
    </row>
    <row r="47" spans="1:29" x14ac:dyDescent="0.25">
      <c r="A47" s="421"/>
      <c r="S47" s="421"/>
      <c r="T47" s="421"/>
      <c r="U47" s="421"/>
      <c r="V47" s="421"/>
      <c r="W47" s="421"/>
      <c r="X47" s="421"/>
      <c r="Y47" s="421"/>
      <c r="Z47" s="421"/>
      <c r="AA47" s="421"/>
      <c r="AB47" s="421"/>
      <c r="AC47" s="421"/>
    </row>
    <row r="48" spans="1:29" x14ac:dyDescent="0.25">
      <c r="A48" s="421"/>
      <c r="B48" s="421"/>
      <c r="C48" s="421"/>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row>
    <row r="49" spans="1:29" x14ac:dyDescent="0.25">
      <c r="A49" s="421"/>
      <c r="B49" s="421" t="s">
        <v>442</v>
      </c>
      <c r="C49" s="421"/>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row>
    <row r="50" spans="1:29" ht="14" x14ac:dyDescent="0.25">
      <c r="A50" s="421"/>
      <c r="B50" s="514" t="s">
        <v>296</v>
      </c>
      <c r="C50" s="514"/>
      <c r="D50" s="514"/>
      <c r="E50" s="514"/>
      <c r="F50" s="514"/>
      <c r="G50" s="514"/>
      <c r="H50" s="514"/>
      <c r="I50" s="514"/>
      <c r="J50" s="514"/>
      <c r="K50" s="514"/>
      <c r="L50" s="514"/>
      <c r="M50" s="514"/>
      <c r="N50" s="421"/>
      <c r="O50" s="421"/>
      <c r="P50" s="421"/>
      <c r="Q50" s="421"/>
      <c r="R50" s="421"/>
      <c r="S50" s="421"/>
      <c r="T50" s="421"/>
      <c r="U50" s="421"/>
      <c r="V50" s="421"/>
      <c r="W50" s="421"/>
      <c r="X50" s="421"/>
      <c r="Y50" s="421"/>
      <c r="Z50" s="421"/>
      <c r="AA50" s="421"/>
      <c r="AB50" s="421"/>
      <c r="AC50" s="421"/>
    </row>
    <row r="51" spans="1:29" ht="14" x14ac:dyDescent="0.25">
      <c r="A51" s="421"/>
      <c r="B51" s="513"/>
      <c r="C51" s="513"/>
      <c r="D51" s="513"/>
      <c r="E51" s="513"/>
      <c r="F51" s="513"/>
      <c r="G51" s="513"/>
      <c r="H51" s="513"/>
      <c r="I51" s="513"/>
      <c r="J51" s="513"/>
      <c r="K51" s="513"/>
      <c r="L51" s="513"/>
      <c r="M51" s="513"/>
      <c r="N51" s="421"/>
      <c r="O51" s="421"/>
      <c r="P51" s="421"/>
      <c r="Q51" s="421"/>
      <c r="R51" s="421"/>
      <c r="S51" s="421"/>
      <c r="T51" s="421"/>
      <c r="U51" s="421"/>
      <c r="V51" s="421"/>
      <c r="W51" s="421"/>
      <c r="X51" s="421"/>
      <c r="Y51" s="421"/>
      <c r="Z51" s="421"/>
      <c r="AA51" s="421"/>
      <c r="AB51" s="421"/>
      <c r="AC51" s="421"/>
    </row>
    <row r="52" spans="1:29" ht="14" x14ac:dyDescent="0.25">
      <c r="A52" s="421"/>
      <c r="B52" s="513"/>
      <c r="C52" s="513"/>
      <c r="D52" s="513"/>
      <c r="E52" s="513"/>
      <c r="F52" s="513"/>
      <c r="G52" s="513"/>
      <c r="H52" s="513"/>
      <c r="I52" s="513"/>
      <c r="J52" s="513"/>
      <c r="K52" s="513"/>
      <c r="L52" s="513"/>
      <c r="M52" s="513"/>
      <c r="N52" s="421"/>
      <c r="O52" s="421"/>
      <c r="P52" s="421"/>
      <c r="Q52" s="421"/>
      <c r="R52" s="421"/>
      <c r="S52" s="421"/>
      <c r="T52" s="421"/>
      <c r="U52" s="421"/>
      <c r="V52" s="421"/>
      <c r="W52" s="421"/>
      <c r="X52" s="421"/>
      <c r="Y52" s="421"/>
      <c r="Z52" s="421"/>
      <c r="AA52" s="421"/>
      <c r="AB52" s="421"/>
      <c r="AC52" s="421"/>
    </row>
    <row r="53" spans="1:29" ht="14" x14ac:dyDescent="0.25">
      <c r="A53" s="421"/>
      <c r="B53" s="513"/>
      <c r="C53" s="513"/>
      <c r="D53" s="513"/>
      <c r="E53" s="513"/>
      <c r="F53" s="513"/>
      <c r="G53" s="513"/>
      <c r="H53" s="513"/>
      <c r="I53" s="513"/>
      <c r="J53" s="513"/>
      <c r="K53" s="513"/>
      <c r="L53" s="513"/>
      <c r="M53" s="513"/>
      <c r="N53" s="421"/>
      <c r="O53" s="421"/>
      <c r="P53" s="421"/>
      <c r="Q53" s="421"/>
      <c r="R53" s="421"/>
      <c r="S53" s="421"/>
      <c r="T53" s="421"/>
      <c r="U53" s="421"/>
      <c r="V53" s="421"/>
      <c r="W53" s="421"/>
      <c r="X53" s="421"/>
      <c r="Y53" s="421"/>
      <c r="Z53" s="421"/>
      <c r="AA53" s="421"/>
      <c r="AB53" s="421"/>
      <c r="AC53" s="421"/>
    </row>
    <row r="54" spans="1:29" x14ac:dyDescent="0.25">
      <c r="A54" s="421"/>
      <c r="B54" s="421"/>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row>
    <row r="55" spans="1:29" x14ac:dyDescent="0.25">
      <c r="A55" s="421"/>
      <c r="B55" s="421"/>
      <c r="C55" s="421"/>
      <c r="D55" s="421"/>
      <c r="E55" s="421"/>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row>
    <row r="56" spans="1:29" x14ac:dyDescent="0.25">
      <c r="A56" s="421"/>
      <c r="B56" s="421"/>
      <c r="C56" s="421"/>
      <c r="D56" s="421"/>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row>
    <row r="57" spans="1:29" x14ac:dyDescent="0.25">
      <c r="A57" s="421"/>
      <c r="B57" s="421"/>
      <c r="C57" s="421"/>
      <c r="D57" s="421"/>
      <c r="E57" s="421"/>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row>
    <row r="58" spans="1:29" x14ac:dyDescent="0.25">
      <c r="A58" s="421"/>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row>
    <row r="59" spans="1:29" x14ac:dyDescent="0.25">
      <c r="A59" s="421"/>
      <c r="B59" s="421"/>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421"/>
      <c r="AC59" s="421"/>
    </row>
    <row r="60" spans="1:29" x14ac:dyDescent="0.25">
      <c r="A60" s="421"/>
      <c r="B60" s="421"/>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row>
    <row r="61" spans="1:29" x14ac:dyDescent="0.25">
      <c r="A61" s="421"/>
      <c r="B61" s="421"/>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row>
    <row r="62" spans="1:29" x14ac:dyDescent="0.25">
      <c r="A62" s="421"/>
      <c r="B62" s="421"/>
      <c r="C62" s="421"/>
      <c r="D62" s="421"/>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row>
    <row r="63" spans="1:29" x14ac:dyDescent="0.25">
      <c r="A63" s="421"/>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row>
    <row r="64" spans="1:29" x14ac:dyDescent="0.25">
      <c r="A64" s="421"/>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row>
    <row r="65" spans="1:29" x14ac:dyDescent="0.25">
      <c r="A65" s="421"/>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row>
    <row r="66" spans="1:29" x14ac:dyDescent="0.25">
      <c r="A66" s="421"/>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row>
    <row r="67" spans="1:29" x14ac:dyDescent="0.25">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row>
    <row r="68" spans="1:29" x14ac:dyDescent="0.25">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row>
    <row r="69" spans="1:29" x14ac:dyDescent="0.25">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row>
    <row r="70" spans="1:29" x14ac:dyDescent="0.25">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row>
    <row r="71" spans="1:29" x14ac:dyDescent="0.25">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row>
    <row r="72" spans="1:29" x14ac:dyDescent="0.25">
      <c r="A72" s="421"/>
      <c r="B72" s="421"/>
      <c r="C72" s="421"/>
      <c r="D72" s="421"/>
      <c r="E72" s="421"/>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row>
    <row r="73" spans="1:29" x14ac:dyDescent="0.25">
      <c r="A73" s="421"/>
      <c r="B73" s="421"/>
      <c r="C73" s="421"/>
      <c r="D73" s="42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row>
    <row r="74" spans="1:29" x14ac:dyDescent="0.25">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421"/>
    </row>
    <row r="75" spans="1:29" x14ac:dyDescent="0.25">
      <c r="A75" s="421"/>
      <c r="B75" s="421"/>
      <c r="C75" s="421"/>
      <c r="D75" s="42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1"/>
      <c r="AC75" s="421"/>
    </row>
    <row r="76" spans="1:29" x14ac:dyDescent="0.25">
      <c r="A76" s="421"/>
      <c r="B76" s="421"/>
      <c r="C76" s="421"/>
      <c r="D76" s="421"/>
      <c r="E76" s="421"/>
      <c r="F76" s="421"/>
      <c r="G76" s="421"/>
      <c r="H76" s="421"/>
      <c r="I76" s="421"/>
      <c r="J76" s="421"/>
      <c r="K76" s="421"/>
      <c r="L76" s="421"/>
      <c r="M76" s="421"/>
      <c r="N76" s="421"/>
      <c r="O76" s="421"/>
      <c r="P76" s="421"/>
      <c r="Q76" s="421"/>
      <c r="R76" s="421"/>
      <c r="S76" s="421"/>
      <c r="T76" s="421"/>
      <c r="U76" s="421"/>
      <c r="V76" s="421"/>
      <c r="W76" s="421"/>
      <c r="X76" s="421"/>
      <c r="Y76" s="421"/>
      <c r="Z76" s="421"/>
      <c r="AA76" s="421"/>
      <c r="AB76" s="421"/>
      <c r="AC76" s="421"/>
    </row>
    <row r="77" spans="1:29" x14ac:dyDescent="0.25">
      <c r="A77" s="421"/>
      <c r="B77" s="421"/>
      <c r="C77" s="421"/>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row>
    <row r="78" spans="1:29" x14ac:dyDescent="0.25">
      <c r="A78" s="421"/>
      <c r="B78" s="421"/>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row>
    <row r="79" spans="1:29" x14ac:dyDescent="0.25">
      <c r="A79" s="421"/>
      <c r="B79" s="421"/>
      <c r="C79" s="421"/>
      <c r="D79" s="421"/>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1"/>
      <c r="AC79" s="421"/>
    </row>
    <row r="80" spans="1:29" x14ac:dyDescent="0.25">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row>
    <row r="81" spans="1:29" x14ac:dyDescent="0.25">
      <c r="A81" s="421"/>
      <c r="B81" s="421"/>
      <c r="C81" s="421"/>
      <c r="D81" s="421"/>
      <c r="E81" s="421"/>
      <c r="F81" s="421"/>
      <c r="G81" s="421"/>
      <c r="H81" s="421"/>
      <c r="I81" s="421"/>
      <c r="J81" s="421"/>
      <c r="K81" s="421"/>
      <c r="L81" s="421"/>
      <c r="M81" s="421"/>
      <c r="N81" s="421"/>
      <c r="O81" s="421"/>
      <c r="P81" s="421"/>
      <c r="Q81" s="421"/>
      <c r="R81" s="421"/>
      <c r="S81" s="421"/>
      <c r="T81" s="421"/>
      <c r="U81" s="421"/>
      <c r="V81" s="421"/>
      <c r="W81" s="421"/>
      <c r="X81" s="421"/>
      <c r="Y81" s="421"/>
      <c r="Z81" s="421"/>
      <c r="AA81" s="421"/>
      <c r="AB81" s="421"/>
      <c r="AC81" s="421"/>
    </row>
    <row r="82" spans="1:29" x14ac:dyDescent="0.25">
      <c r="A82" s="421"/>
      <c r="B82" s="421"/>
      <c r="C82" s="421"/>
      <c r="D82" s="421"/>
      <c r="E82" s="421"/>
      <c r="F82" s="421"/>
      <c r="G82" s="421"/>
      <c r="H82" s="421"/>
      <c r="I82" s="421"/>
      <c r="J82" s="421"/>
      <c r="K82" s="421"/>
      <c r="L82" s="421"/>
      <c r="M82" s="421"/>
      <c r="N82" s="421"/>
      <c r="O82" s="421"/>
      <c r="P82" s="421"/>
      <c r="Q82" s="421"/>
      <c r="R82" s="421"/>
      <c r="S82" s="421"/>
      <c r="T82" s="421"/>
      <c r="U82" s="421"/>
      <c r="V82" s="421"/>
      <c r="W82" s="421"/>
      <c r="X82" s="421"/>
      <c r="Y82" s="421"/>
      <c r="Z82" s="421"/>
      <c r="AA82" s="421"/>
      <c r="AB82" s="421"/>
      <c r="AC82" s="421"/>
    </row>
    <row r="83" spans="1:29" x14ac:dyDescent="0.25">
      <c r="A83" s="421"/>
      <c r="B83" s="421"/>
      <c r="C83" s="421"/>
      <c r="D83" s="421"/>
      <c r="E83" s="421"/>
      <c r="F83" s="421"/>
      <c r="G83" s="421"/>
      <c r="H83" s="421"/>
      <c r="I83" s="421"/>
      <c r="J83" s="421"/>
      <c r="K83" s="421"/>
      <c r="L83" s="421"/>
      <c r="M83" s="421"/>
      <c r="N83" s="421"/>
      <c r="O83" s="421"/>
      <c r="P83" s="421"/>
      <c r="Q83" s="421"/>
      <c r="R83" s="421"/>
      <c r="S83" s="421"/>
      <c r="T83" s="421"/>
      <c r="U83" s="421"/>
      <c r="V83" s="421"/>
      <c r="W83" s="421"/>
      <c r="X83" s="421"/>
      <c r="Y83" s="421"/>
      <c r="Z83" s="421"/>
      <c r="AA83" s="421"/>
      <c r="AB83" s="421"/>
      <c r="AC83" s="421"/>
    </row>
    <row r="84" spans="1:29" x14ac:dyDescent="0.25">
      <c r="A84" s="421"/>
      <c r="B84" s="421"/>
      <c r="C84" s="421"/>
      <c r="D84" s="421"/>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1"/>
      <c r="AC84" s="421"/>
    </row>
    <row r="85" spans="1:29" x14ac:dyDescent="0.25">
      <c r="A85" s="421"/>
      <c r="B85" s="421"/>
      <c r="C85" s="421"/>
      <c r="D85" s="421"/>
      <c r="E85" s="421"/>
      <c r="F85" s="421"/>
      <c r="G85" s="421"/>
      <c r="H85" s="421"/>
      <c r="I85" s="421"/>
      <c r="J85" s="421"/>
      <c r="K85" s="421"/>
      <c r="L85" s="421"/>
      <c r="M85" s="421"/>
      <c r="N85" s="421"/>
      <c r="O85" s="421"/>
      <c r="P85" s="421"/>
      <c r="Q85" s="421"/>
      <c r="R85" s="421"/>
      <c r="S85" s="421"/>
      <c r="T85" s="421"/>
      <c r="U85" s="421"/>
      <c r="V85" s="421"/>
      <c r="W85" s="421"/>
      <c r="X85" s="421"/>
      <c r="Y85" s="421"/>
      <c r="Z85" s="421"/>
      <c r="AA85" s="421"/>
      <c r="AB85" s="421"/>
      <c r="AC85" s="421"/>
    </row>
    <row r="86" spans="1:29" x14ac:dyDescent="0.25">
      <c r="A86" s="421"/>
      <c r="B86" s="421"/>
      <c r="C86" s="421"/>
      <c r="D86" s="421"/>
      <c r="E86" s="421"/>
      <c r="F86" s="421"/>
      <c r="G86" s="421"/>
      <c r="H86" s="421"/>
      <c r="I86" s="421"/>
      <c r="J86" s="421"/>
      <c r="K86" s="421"/>
      <c r="L86" s="421"/>
      <c r="M86" s="421"/>
      <c r="N86" s="421"/>
      <c r="O86" s="421"/>
      <c r="P86" s="421"/>
      <c r="Q86" s="421"/>
      <c r="R86" s="421"/>
      <c r="S86" s="421"/>
      <c r="T86" s="421"/>
      <c r="U86" s="421"/>
      <c r="V86" s="421"/>
      <c r="W86" s="421"/>
      <c r="X86" s="421"/>
      <c r="Y86" s="421"/>
      <c r="Z86" s="421"/>
      <c r="AA86" s="421"/>
      <c r="AB86" s="421"/>
      <c r="AC86" s="421"/>
    </row>
    <row r="87" spans="1:29" x14ac:dyDescent="0.25">
      <c r="A87" s="421"/>
      <c r="B87" s="421"/>
      <c r="C87" s="421"/>
      <c r="D87" s="421"/>
      <c r="E87" s="421"/>
      <c r="F87" s="421"/>
      <c r="G87" s="421"/>
      <c r="H87" s="421"/>
      <c r="I87" s="421"/>
      <c r="J87" s="421"/>
      <c r="K87" s="421"/>
      <c r="L87" s="421"/>
      <c r="M87" s="421"/>
      <c r="N87" s="421"/>
      <c r="O87" s="421"/>
      <c r="P87" s="421"/>
      <c r="Q87" s="421"/>
      <c r="R87" s="421"/>
      <c r="S87" s="421"/>
      <c r="T87" s="421"/>
      <c r="U87" s="421"/>
      <c r="V87" s="421"/>
      <c r="W87" s="421"/>
      <c r="X87" s="421"/>
      <c r="Y87" s="421"/>
      <c r="Z87" s="421"/>
      <c r="AA87" s="421"/>
      <c r="AB87" s="421"/>
      <c r="AC87" s="421"/>
    </row>
    <row r="88" spans="1:29" x14ac:dyDescent="0.25">
      <c r="A88" s="421"/>
      <c r="B88" s="421"/>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row>
    <row r="89" spans="1:29" x14ac:dyDescent="0.25">
      <c r="A89" s="421"/>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row>
    <row r="90" spans="1:29" x14ac:dyDescent="0.25">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c r="Y90" s="421"/>
      <c r="Z90" s="421"/>
      <c r="AA90" s="421"/>
      <c r="AB90" s="421"/>
      <c r="AC90" s="421"/>
    </row>
    <row r="91" spans="1:29" x14ac:dyDescent="0.25">
      <c r="A91" s="421"/>
      <c r="B91" s="421"/>
      <c r="C91" s="421"/>
      <c r="D91" s="421"/>
      <c r="E91" s="421"/>
      <c r="F91" s="421"/>
      <c r="G91" s="421"/>
      <c r="H91" s="421"/>
      <c r="I91" s="421"/>
      <c r="J91" s="421"/>
      <c r="K91" s="421"/>
      <c r="L91" s="421"/>
      <c r="M91" s="421"/>
      <c r="N91" s="421"/>
      <c r="O91" s="421"/>
      <c r="P91" s="421"/>
      <c r="Q91" s="421"/>
      <c r="R91" s="421"/>
      <c r="S91" s="421"/>
      <c r="T91" s="421"/>
      <c r="U91" s="421"/>
      <c r="V91" s="421"/>
      <c r="W91" s="421"/>
      <c r="X91" s="421"/>
      <c r="Y91" s="421"/>
      <c r="Z91" s="421"/>
      <c r="AA91" s="421"/>
      <c r="AB91" s="421"/>
      <c r="AC91" s="421"/>
    </row>
    <row r="92" spans="1:29" x14ac:dyDescent="0.25">
      <c r="A92" s="421"/>
      <c r="B92" s="421"/>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row>
    <row r="93" spans="1:29" x14ac:dyDescent="0.25">
      <c r="A93" s="421"/>
      <c r="B93" s="421"/>
      <c r="C93" s="421"/>
      <c r="D93" s="421"/>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421"/>
      <c r="AC93" s="421"/>
    </row>
    <row r="94" spans="1:29" x14ac:dyDescent="0.25">
      <c r="A94" s="421"/>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row>
    <row r="95" spans="1:29" x14ac:dyDescent="0.25">
      <c r="A95" s="421"/>
      <c r="B95" s="421"/>
      <c r="C95" s="421"/>
      <c r="D95" s="421"/>
      <c r="E95" s="421"/>
      <c r="F95" s="421"/>
      <c r="G95" s="421"/>
      <c r="H95" s="421"/>
      <c r="I95" s="421"/>
      <c r="J95" s="421"/>
      <c r="K95" s="421"/>
      <c r="L95" s="421"/>
      <c r="M95" s="421"/>
      <c r="N95" s="421"/>
      <c r="O95" s="421"/>
      <c r="P95" s="421"/>
      <c r="Q95" s="421"/>
      <c r="R95" s="421"/>
      <c r="S95" s="421"/>
      <c r="T95" s="421"/>
      <c r="U95" s="421"/>
      <c r="V95" s="421"/>
      <c r="W95" s="421"/>
      <c r="X95" s="421"/>
      <c r="Y95" s="421"/>
      <c r="Z95" s="421"/>
      <c r="AA95" s="421"/>
      <c r="AB95" s="421"/>
      <c r="AC95" s="421"/>
    </row>
    <row r="96" spans="1:29" x14ac:dyDescent="0.25">
      <c r="A96" s="421"/>
      <c r="B96" s="421"/>
      <c r="C96" s="421"/>
      <c r="D96" s="421"/>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row>
    <row r="97" spans="1:29" x14ac:dyDescent="0.25">
      <c r="A97" s="421"/>
      <c r="B97" s="421"/>
      <c r="C97" s="421"/>
      <c r="D97" s="421"/>
      <c r="E97" s="421"/>
      <c r="F97" s="421"/>
      <c r="G97" s="421"/>
      <c r="H97" s="421"/>
      <c r="I97" s="421"/>
      <c r="J97" s="421"/>
      <c r="K97" s="421"/>
      <c r="L97" s="421"/>
      <c r="M97" s="421"/>
      <c r="N97" s="421"/>
      <c r="O97" s="421"/>
      <c r="P97" s="421"/>
      <c r="Q97" s="421"/>
      <c r="R97" s="421"/>
      <c r="S97" s="421"/>
      <c r="T97" s="421"/>
      <c r="U97" s="421"/>
      <c r="V97" s="421"/>
      <c r="W97" s="421"/>
      <c r="X97" s="421"/>
      <c r="Y97" s="421"/>
      <c r="Z97" s="421"/>
      <c r="AA97" s="421"/>
      <c r="AB97" s="421"/>
      <c r="AC97" s="421" t="s">
        <v>219</v>
      </c>
    </row>
  </sheetData>
  <sheetProtection algorithmName="SHA-512" hashValue="86P9morXTIYupusa+r+yeQ1PmCXPeQT/znFutU4f77CJjaouFdVzT4Z/4YQ+zn1XtKKwNsVoWfPzPpEt0qqQgw==" saltValue="zXGTU5e7ukC9QNi9NovUjg==" spinCount="100000" sheet="1" objects="1" scenarios="1" selectLockedCells="1"/>
  <customSheetViews>
    <customSheetView guid="{68ABA936-E0C3-4F62-AA1D-4FD1F5462098}" showPageBreaks="1" showGridLines="0" showRowCol="0" fitToPage="1" printArea="1" hiddenRows="1" view="pageBreakPreview">
      <selection activeCell="I18" sqref="I18:K18"/>
      <pageMargins left="0.39370078740157483" right="0.39370078740157483" top="0.39370078740157483" bottom="0.39370078740157483" header="0" footer="0"/>
      <printOptions horizontalCentered="1"/>
      <pageSetup paperSize="9" scale="86" orientation="portrait" r:id="rId1"/>
    </customSheetView>
  </customSheetViews>
  <mergeCells count="44">
    <mergeCell ref="U3:V3"/>
    <mergeCell ref="C23:K23"/>
    <mergeCell ref="I18:Q18"/>
    <mergeCell ref="B53:M53"/>
    <mergeCell ref="B52:M52"/>
    <mergeCell ref="C25:Q25"/>
    <mergeCell ref="C38:Q38"/>
    <mergeCell ref="C39:Q39"/>
    <mergeCell ref="C42:L44"/>
    <mergeCell ref="C35:K35"/>
    <mergeCell ref="C36:H36"/>
    <mergeCell ref="L36:M36"/>
    <mergeCell ref="I36:J36"/>
    <mergeCell ref="N42:Q43"/>
    <mergeCell ref="C46:Q46"/>
    <mergeCell ref="T16:X22"/>
    <mergeCell ref="C24:Q24"/>
    <mergeCell ref="C4:O4"/>
    <mergeCell ref="C3:N3"/>
    <mergeCell ref="C6:N6"/>
    <mergeCell ref="I22:Q22"/>
    <mergeCell ref="C16:H16"/>
    <mergeCell ref="I16:Q16"/>
    <mergeCell ref="C18:H18"/>
    <mergeCell ref="C11:E11"/>
    <mergeCell ref="F11:Q11"/>
    <mergeCell ref="C20:H20"/>
    <mergeCell ref="I20:K20"/>
    <mergeCell ref="C33:M33"/>
    <mergeCell ref="B51:M51"/>
    <mergeCell ref="B50:M50"/>
    <mergeCell ref="O33:Q33"/>
    <mergeCell ref="F9:Q9"/>
    <mergeCell ref="F10:Q10"/>
    <mergeCell ref="I27:M27"/>
    <mergeCell ref="C31:Q31"/>
    <mergeCell ref="C27:H27"/>
    <mergeCell ref="C13:L13"/>
    <mergeCell ref="C14:H14"/>
    <mergeCell ref="C9:E9"/>
    <mergeCell ref="C10:E10"/>
    <mergeCell ref="E29:Q29"/>
    <mergeCell ref="I14:Q14"/>
    <mergeCell ref="C22:H22"/>
  </mergeCells>
  <conditionalFormatting sqref="I14">
    <cfRule type="expression" dxfId="368" priority="104">
      <formula>I14=""</formula>
    </cfRule>
  </conditionalFormatting>
  <conditionalFormatting sqref="I18">
    <cfRule type="expression" dxfId="366" priority="23">
      <formula>I18=""</formula>
    </cfRule>
  </conditionalFormatting>
  <conditionalFormatting sqref="I20">
    <cfRule type="expression" dxfId="365" priority="22">
      <formula>I20=""</formula>
    </cfRule>
  </conditionalFormatting>
  <conditionalFormatting sqref="I27">
    <cfRule type="expression" dxfId="364" priority="7">
      <formula>$I$27="bitte auswählen"</formula>
    </cfRule>
  </conditionalFormatting>
  <conditionalFormatting sqref="I36">
    <cfRule type="expression" dxfId="363" priority="33">
      <formula>$I$36&lt;&gt;""</formula>
    </cfRule>
  </conditionalFormatting>
  <conditionalFormatting sqref="I22:Q22">
    <cfRule type="expression" dxfId="362" priority="103">
      <formula>I22=""</formula>
    </cfRule>
  </conditionalFormatting>
  <conditionalFormatting sqref="N33">
    <cfRule type="expression" dxfId="360" priority="3">
      <formula>$N$33&lt;&gt;""</formula>
    </cfRule>
  </conditionalFormatting>
  <dataValidations xWindow="813" yWindow="458" count="3">
    <dataValidation allowBlank="1" showInputMessage="1" showErrorMessage="1" promptTitle="Achtung:" prompt="Bitte füllen Sie alle Felder der Reihe nach aus. " sqref="I14:Q15" xr:uid="{00000000-0002-0000-0000-000000000000}"/>
    <dataValidation type="custom" allowBlank="1" showErrorMessage="1" errorTitle="Achtung:" error="Der geplante Projektstart muss innerhalb der nächsten 12 Monate ab Antragstellung erfolgen." promptTitle="Hinweis:" prompt="Bitte planen Sie den Dienstantritt frühestens 6 Monate nach Antragstellung ein. Bitte berücksichtigen Sie ausreichend Zeit für ein Stellenbesetzungsverfahren. Der Dienstantritt ist immer der Monatserste (mögliche Ausnahme: Anschlussvorhaben). " sqref="I36:J36" xr:uid="{00000000-0002-0000-0000-000001000000}">
      <formula1>AND(I36&gt;TODAY(),I36&lt;DATE(YEAR(TODAY()),MONTH(TODAY())+13,1))</formula1>
    </dataValidation>
    <dataValidation allowBlank="1" promptTitle="Hinweis:" prompt="Wählen Sie im Dropdown-menü das Tabellenblatt an und klicken Sie anschließend auf den Link." sqref="U3:V4" xr:uid="{00000000-0002-0000-0000-000002000000}"/>
  </dataValidations>
  <hyperlinks>
    <hyperlink ref="B50" r:id="rId2" xr:uid="{00000000-0004-0000-0000-000000000000}"/>
  </hyperlinks>
  <printOptions horizontalCentered="1"/>
  <pageMargins left="0" right="0" top="0" bottom="0" header="0" footer="0"/>
  <pageSetup paperSize="9" scale="94"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4355" r:id="rId6" name="Check Box 19">
              <controlPr defaultSize="0" autoFill="0" autoLine="0" autoPict="0">
                <anchor moveWithCells="1">
                  <from>
                    <xdr:col>2</xdr:col>
                    <xdr:colOff>57150</xdr:colOff>
                    <xdr:row>28</xdr:row>
                    <xdr:rowOff>69850</xdr:rowOff>
                  </from>
                  <to>
                    <xdr:col>3</xdr:col>
                    <xdr:colOff>95250</xdr:colOff>
                    <xdr:row>28</xdr:row>
                    <xdr:rowOff>279400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9" id="{82DFAFC3-2E49-4062-B59D-14EDEC2B056F}">
            <xm:f>OR($I$16=menu!$AF$2,$I$16=menu!$AF$6,$I$16=menu!$AF$7,$I$16=menu!$AF$8,$I$16=menu!$AF$9,$I$16=menu!$AF$10,$I$16=menu!$AF$11,$I$16=menu!$AF$12)</xm:f>
            <x14:dxf>
              <font>
                <color theme="0"/>
              </font>
              <fill>
                <patternFill>
                  <bgColor theme="0"/>
                </patternFill>
              </fill>
              <border>
                <left/>
                <right/>
                <top/>
                <bottom/>
                <vertical/>
                <horizontal/>
              </border>
            </x14:dxf>
          </x14:cfRule>
          <xm:sqref>B20:K20</xm:sqref>
        </x14:conditionalFormatting>
        <x14:conditionalFormatting xmlns:xm="http://schemas.microsoft.com/office/excel/2006/main">
          <x14:cfRule type="expression" priority="8" id="{0563AB26-6ED5-48CD-BBA6-BEA3271F28D7}">
            <xm:f>OR($I$16=menu!$AF$2,$I$16=menu!$AF$6,$I$16=menu!$AF$7,$I$16=menu!$AF$8,$I$16=menu!$AF$9,$I$16=menu!$AF$10,$I$16=menu!$AF$11,$I$16=menu!$AF$12)</xm:f>
            <x14:dxf>
              <font>
                <color theme="0"/>
              </font>
              <fill>
                <patternFill>
                  <bgColor theme="0"/>
                </patternFill>
              </fill>
              <border>
                <left/>
                <right/>
                <top/>
                <bottom/>
                <vertical/>
                <horizontal/>
              </border>
            </x14:dxf>
          </x14:cfRule>
          <x14:cfRule type="expression" priority="21" id="{872033DC-47C6-4359-812F-E2EBA94AFDE5}">
            <xm:f>$I$16=menu!$AF$5</xm:f>
            <x14:dxf>
              <font>
                <color theme="0"/>
              </font>
              <fill>
                <patternFill>
                  <bgColor theme="0"/>
                </patternFill>
              </fill>
              <border>
                <left/>
                <right/>
                <top/>
                <bottom/>
                <vertical/>
                <horizontal/>
              </border>
            </x14:dxf>
          </x14:cfRule>
          <xm:sqref>B18:Q18</xm:sqref>
        </x14:conditionalFormatting>
        <x14:conditionalFormatting xmlns:xm="http://schemas.microsoft.com/office/excel/2006/main">
          <x14:cfRule type="expression" priority="2074" id="{F768C97E-083A-49FB-A13C-3F88509F61ED}">
            <xm:f>$I$27=menu!$A$102</xm:f>
            <x14:dxf>
              <font>
                <color theme="0"/>
              </font>
              <fill>
                <patternFill>
                  <bgColor theme="0"/>
                </patternFill>
              </fill>
              <border>
                <left/>
                <right/>
                <top/>
                <bottom/>
                <vertical/>
                <horizontal/>
              </border>
            </x14:dxf>
          </x14:cfRule>
          <xm:sqref>B29:Q29</xm:sqref>
        </x14:conditionalFormatting>
        <x14:conditionalFormatting xmlns:xm="http://schemas.microsoft.com/office/excel/2006/main">
          <x14:cfRule type="expression" priority="9" id="{04435F4A-22E5-4A61-9734-63E9E97F3D9F}">
            <xm:f>AND(menu!$C$86=TRUE)</xm:f>
            <x14:dxf>
              <fill>
                <patternFill>
                  <bgColor rgb="FFEBF1DE"/>
                </patternFill>
              </fill>
            </x14:dxf>
          </x14:cfRule>
          <xm:sqref>C29:Q29</xm:sqref>
        </x14:conditionalFormatting>
        <x14:conditionalFormatting xmlns:xm="http://schemas.microsoft.com/office/excel/2006/main">
          <x14:cfRule type="expression" priority="31" id="{FC8B1A6F-DA4B-45D7-B9E7-E384CAD94E8F}">
            <xm:f>I16=menu!$AF$2</xm:f>
            <x14:dxf>
              <fill>
                <patternFill>
                  <bgColor rgb="FFE3B5A2"/>
                </patternFill>
              </fill>
            </x14:dxf>
          </x14:cfRule>
          <xm:sqref>I16</xm:sqref>
        </x14:conditionalFormatting>
        <x14:conditionalFormatting xmlns:xm="http://schemas.microsoft.com/office/excel/2006/main">
          <x14:cfRule type="expression" priority="1" id="{0117F8AC-8E2B-4318-A3A3-01951E074665}">
            <xm:f>$N$33&gt;menu!$A$148</xm:f>
            <x14:dxf>
              <fill>
                <patternFill>
                  <bgColor rgb="FFE3B5A2"/>
                </patternFill>
              </fill>
            </x14:dxf>
          </x14:cfRule>
          <xm:sqref>N33</xm:sqref>
        </x14:conditionalFormatting>
        <x14:conditionalFormatting xmlns:xm="http://schemas.microsoft.com/office/excel/2006/main">
          <x14:cfRule type="iconSet" priority="17" id="{2156B9C2-A6BC-4E4E-8379-2AF7CC2768BC}">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N36</xm:sqref>
        </x14:conditionalFormatting>
        <x14:conditionalFormatting xmlns:xm="http://schemas.microsoft.com/office/excel/2006/main">
          <x14:cfRule type="iconSet" priority="18" id="{8C337005-081B-4089-BA44-50ED073A8461}">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Q36</xm:sqref>
        </x14:conditionalFormatting>
      </x14:conditionalFormattings>
    </ext>
    <ext xmlns:x14="http://schemas.microsoft.com/office/spreadsheetml/2009/9/main" uri="{CCE6A557-97BC-4b89-ADB6-D9C93CAAB3DF}">
      <x14:dataValidations xmlns:xm="http://schemas.microsoft.com/office/excel/2006/main" xWindow="813" yWindow="458" count="3">
        <x14:dataValidation type="list" allowBlank="1" showInputMessage="1" showErrorMessage="1" promptTitle="Achtung:" prompt="Bitte füllen Sie alle Felder der Reihe nach aus. " xr:uid="{00000000-0002-0000-0000-000003000000}">
          <x14:formula1>
            <xm:f>menu!$AF$2:$AF$10</xm:f>
          </x14:formula1>
          <xm:sqref>I17:Q17</xm:sqref>
        </x14:dataValidation>
        <x14:dataValidation type="list" allowBlank="1" showInputMessage="1" showErrorMessage="1" promptTitle="Achtung:" prompt="Bitte füllen Sie alle Felder der Reihe nach aus. " xr:uid="{00000000-0002-0000-0000-000004000000}">
          <x14:formula1>
            <xm:f>menu!$AF$2:$AF$11</xm:f>
          </x14:formula1>
          <xm:sqref>I16:Q16</xm:sqref>
        </x14:dataValidation>
        <x14:dataValidation type="list" allowBlank="1" showInputMessage="1" showErrorMessage="1" xr:uid="{00000000-0002-0000-0000-000005000000}">
          <x14:formula1>
            <xm:f>menu!$A$102:$A$104</xm:f>
          </x14:formula1>
          <xm:sqref>I27:M27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rgb="FFFCF2F7"/>
    <pageSetUpPr fitToPage="1"/>
  </sheetPr>
  <dimension ref="A1:AC81"/>
  <sheetViews>
    <sheetView showGridLines="0" showRowColHeaders="0" zoomScaleNormal="100" zoomScaleSheetLayoutView="100" workbookViewId="0">
      <selection activeCell="H15" sqref="H15:I15"/>
    </sheetView>
  </sheetViews>
  <sheetFormatPr baseColWidth="10" defaultColWidth="11.453125" defaultRowHeight="11.5" x14ac:dyDescent="0.25"/>
  <cols>
    <col min="1" max="2" width="2.26953125" style="86" customWidth="1"/>
    <col min="3" max="3" width="6" style="86" customWidth="1"/>
    <col min="4" max="4" width="6.26953125" style="86" customWidth="1"/>
    <col min="5" max="5" width="18" style="86" customWidth="1"/>
    <col min="6" max="6" width="18.81640625" style="86" customWidth="1"/>
    <col min="7" max="7" width="19.453125" style="86" customWidth="1"/>
    <col min="8" max="8" width="16.54296875" style="86" customWidth="1"/>
    <col min="9" max="9" width="4.7265625" style="86" customWidth="1"/>
    <col min="10" max="10" width="8.1796875" style="86" customWidth="1"/>
    <col min="11" max="11" width="10.453125" style="86" customWidth="1"/>
    <col min="12" max="12" width="15" style="86" customWidth="1"/>
    <col min="13" max="13" width="3.26953125" style="86" customWidth="1"/>
    <col min="14" max="14" width="2.26953125" style="86" customWidth="1"/>
    <col min="15" max="16384" width="11.453125" style="86"/>
  </cols>
  <sheetData>
    <row r="1" spans="1:29" x14ac:dyDescent="0.25">
      <c r="A1" s="432" t="s">
        <v>219</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row>
    <row r="2" spans="1:29" x14ac:dyDescent="0.25">
      <c r="A2" s="432"/>
      <c r="O2" s="432"/>
      <c r="P2" s="432"/>
      <c r="Q2" s="432"/>
      <c r="R2" s="432"/>
      <c r="S2" s="432"/>
      <c r="T2" s="432"/>
      <c r="U2" s="432"/>
      <c r="V2" s="432"/>
      <c r="W2" s="432"/>
      <c r="X2" s="432"/>
      <c r="Y2" s="432"/>
      <c r="Z2" s="432"/>
      <c r="AA2" s="432"/>
      <c r="AB2" s="432"/>
      <c r="AC2" s="432"/>
    </row>
    <row r="3" spans="1:29" ht="12.75" customHeight="1" x14ac:dyDescent="0.25">
      <c r="A3" s="432"/>
      <c r="C3" s="749" t="s">
        <v>669</v>
      </c>
      <c r="D3" s="749"/>
      <c r="E3" s="749"/>
      <c r="F3" s="749"/>
      <c r="G3" s="749"/>
      <c r="H3" s="750"/>
      <c r="I3" s="478"/>
      <c r="J3" s="88" t="s">
        <v>638</v>
      </c>
      <c r="K3" s="109"/>
      <c r="L3" s="109"/>
      <c r="O3" s="748"/>
      <c r="P3" s="748"/>
      <c r="Q3" s="432"/>
      <c r="R3" s="432"/>
      <c r="S3" s="432"/>
      <c r="T3" s="432"/>
      <c r="U3" s="432"/>
      <c r="V3" s="432"/>
      <c r="W3" s="432"/>
      <c r="X3" s="432"/>
      <c r="Y3" s="432"/>
      <c r="Z3" s="432"/>
      <c r="AA3" s="432"/>
      <c r="AB3" s="432"/>
      <c r="AC3" s="432"/>
    </row>
    <row r="4" spans="1:29" ht="12.75" customHeight="1" x14ac:dyDescent="0.25">
      <c r="A4" s="432"/>
      <c r="C4" s="749"/>
      <c r="D4" s="749"/>
      <c r="E4" s="749"/>
      <c r="F4" s="749"/>
      <c r="G4" s="749"/>
      <c r="H4" s="750"/>
      <c r="I4" s="166"/>
      <c r="J4" s="89" t="s">
        <v>62</v>
      </c>
      <c r="K4" s="109"/>
      <c r="L4" s="109"/>
      <c r="O4" s="748"/>
      <c r="P4" s="748"/>
      <c r="Q4" s="432"/>
      <c r="R4" s="432"/>
      <c r="S4" s="432"/>
      <c r="T4" s="432"/>
      <c r="U4" s="432"/>
      <c r="V4" s="432"/>
      <c r="W4" s="432"/>
      <c r="X4" s="432"/>
      <c r="Y4" s="432"/>
      <c r="Z4" s="432"/>
      <c r="AA4" s="432"/>
      <c r="AB4" s="432"/>
      <c r="AC4" s="432"/>
    </row>
    <row r="5" spans="1:29" ht="12.75" customHeight="1" x14ac:dyDescent="0.25">
      <c r="A5" s="432"/>
      <c r="C5" s="746"/>
      <c r="D5" s="746"/>
      <c r="E5" s="746"/>
      <c r="F5" s="746"/>
      <c r="I5" s="90"/>
      <c r="J5" s="89" t="s">
        <v>61</v>
      </c>
      <c r="O5" s="432"/>
      <c r="P5" s="432"/>
      <c r="Q5" s="432"/>
      <c r="R5" s="432"/>
      <c r="S5" s="432"/>
      <c r="T5" s="432"/>
      <c r="U5" s="432"/>
      <c r="V5" s="432"/>
      <c r="W5" s="432"/>
      <c r="X5" s="432"/>
      <c r="Y5" s="432"/>
      <c r="Z5" s="432"/>
      <c r="AA5" s="432"/>
      <c r="AB5" s="432"/>
      <c r="AC5" s="432"/>
    </row>
    <row r="6" spans="1:29" ht="12.75" customHeight="1" x14ac:dyDescent="0.25">
      <c r="A6" s="432"/>
      <c r="C6" s="746" t="s">
        <v>670</v>
      </c>
      <c r="D6" s="746"/>
      <c r="E6" s="746"/>
      <c r="F6" s="746"/>
      <c r="G6" s="416"/>
      <c r="H6" s="8"/>
      <c r="I6" s="91"/>
      <c r="J6" s="89" t="s">
        <v>48</v>
      </c>
      <c r="O6" s="432"/>
      <c r="P6" s="432"/>
      <c r="Q6" s="432"/>
      <c r="R6" s="432"/>
      <c r="S6" s="432"/>
      <c r="T6" s="432"/>
      <c r="U6" s="432"/>
      <c r="V6" s="432"/>
      <c r="W6" s="432"/>
      <c r="X6" s="432"/>
      <c r="Y6" s="432"/>
      <c r="Z6" s="432"/>
      <c r="AA6" s="432"/>
      <c r="AB6" s="432"/>
      <c r="AC6" s="432"/>
    </row>
    <row r="7" spans="1:29" ht="12.75" customHeight="1" x14ac:dyDescent="0.25">
      <c r="A7" s="432"/>
      <c r="C7" s="747" t="s">
        <v>671</v>
      </c>
      <c r="D7" s="747"/>
      <c r="E7" s="747"/>
      <c r="F7" s="747"/>
      <c r="I7" s="92"/>
      <c r="J7" s="89" t="s">
        <v>49</v>
      </c>
      <c r="O7" s="432"/>
      <c r="P7" s="432"/>
      <c r="Q7" s="432"/>
      <c r="R7" s="432"/>
      <c r="S7" s="432"/>
      <c r="T7" s="432"/>
      <c r="U7" s="432"/>
      <c r="V7" s="432"/>
      <c r="W7" s="432"/>
      <c r="X7" s="432"/>
      <c r="Y7" s="432"/>
      <c r="Z7" s="432"/>
      <c r="AA7" s="432"/>
      <c r="AB7" s="432"/>
      <c r="AC7" s="432"/>
    </row>
    <row r="8" spans="1:29" ht="2.25" customHeight="1" x14ac:dyDescent="0.25">
      <c r="A8" s="432"/>
      <c r="O8" s="432"/>
      <c r="P8" s="432"/>
      <c r="Q8" s="432"/>
      <c r="R8" s="432"/>
      <c r="S8" s="432"/>
      <c r="T8" s="432"/>
      <c r="U8" s="432"/>
      <c r="V8" s="432"/>
      <c r="W8" s="432"/>
      <c r="X8" s="432"/>
      <c r="Y8" s="432"/>
      <c r="Z8" s="432"/>
      <c r="AA8" s="432"/>
      <c r="AB8" s="432"/>
      <c r="AC8" s="432"/>
    </row>
    <row r="9" spans="1:29" ht="5.25" customHeight="1" x14ac:dyDescent="0.25">
      <c r="A9" s="432"/>
      <c r="C9" s="341"/>
      <c r="D9" s="341"/>
      <c r="E9" s="342"/>
      <c r="F9" s="342"/>
      <c r="G9" s="342"/>
      <c r="H9" s="342"/>
      <c r="I9" s="342"/>
      <c r="J9" s="342"/>
      <c r="K9" s="343"/>
      <c r="L9" s="344"/>
      <c r="O9" s="432"/>
      <c r="P9" s="432"/>
      <c r="Q9" s="432"/>
      <c r="R9" s="432"/>
      <c r="S9" s="432"/>
      <c r="T9" s="432"/>
      <c r="U9" s="432"/>
      <c r="V9" s="432"/>
      <c r="W9" s="432"/>
      <c r="X9" s="432"/>
      <c r="Y9" s="432"/>
      <c r="Z9" s="432"/>
      <c r="AA9" s="432"/>
      <c r="AB9" s="432"/>
      <c r="AC9" s="432"/>
    </row>
    <row r="10" spans="1:29" ht="62.25" customHeight="1" x14ac:dyDescent="0.25">
      <c r="A10" s="432"/>
      <c r="B10" s="128"/>
      <c r="C10" s="724" t="s">
        <v>673</v>
      </c>
      <c r="D10" s="725"/>
      <c r="E10" s="725"/>
      <c r="F10" s="725"/>
      <c r="G10" s="725"/>
      <c r="H10" s="725"/>
      <c r="I10" s="725"/>
      <c r="J10" s="725"/>
      <c r="K10" s="725"/>
      <c r="L10" s="726"/>
      <c r="O10" s="432"/>
      <c r="P10" s="432"/>
      <c r="Q10" s="432"/>
      <c r="R10" s="432"/>
      <c r="S10" s="432"/>
      <c r="T10" s="432"/>
      <c r="U10" s="432"/>
      <c r="V10" s="432"/>
      <c r="W10" s="432"/>
      <c r="X10" s="432"/>
      <c r="Y10" s="432"/>
      <c r="Z10" s="432"/>
      <c r="AA10" s="432"/>
      <c r="AB10" s="432"/>
      <c r="AC10" s="432"/>
    </row>
    <row r="11" spans="1:29" ht="6" customHeight="1" x14ac:dyDescent="0.25">
      <c r="A11" s="432"/>
      <c r="C11" s="180"/>
      <c r="D11" s="180"/>
      <c r="E11" s="181"/>
      <c r="F11" s="181"/>
      <c r="G11" s="181"/>
      <c r="H11" s="181"/>
      <c r="I11" s="181"/>
      <c r="J11" s="181"/>
      <c r="K11" s="182"/>
      <c r="L11" s="168"/>
      <c r="O11" s="432"/>
      <c r="P11" s="432"/>
      <c r="Q11" s="432"/>
      <c r="R11" s="432"/>
      <c r="S11" s="432"/>
      <c r="T11" s="432"/>
      <c r="U11" s="432"/>
      <c r="V11" s="432"/>
      <c r="W11" s="432"/>
      <c r="X11" s="432"/>
      <c r="Y11" s="432"/>
      <c r="Z11" s="432"/>
      <c r="AA11" s="432"/>
      <c r="AB11" s="432"/>
      <c r="AC11" s="432"/>
    </row>
    <row r="12" spans="1:29" ht="15" customHeight="1" thickBot="1" x14ac:dyDescent="0.3">
      <c r="A12" s="432"/>
      <c r="C12" s="337" t="s">
        <v>631</v>
      </c>
      <c r="D12" s="180"/>
      <c r="E12" s="181"/>
      <c r="F12" s="181"/>
      <c r="G12" s="181"/>
      <c r="H12" s="181"/>
      <c r="I12" s="181"/>
      <c r="J12" s="181"/>
      <c r="K12" s="182"/>
      <c r="L12" s="168"/>
      <c r="O12" s="432"/>
      <c r="P12" s="432"/>
      <c r="Q12" s="432"/>
      <c r="R12" s="432"/>
      <c r="S12" s="432"/>
      <c r="T12" s="432"/>
      <c r="U12" s="432"/>
      <c r="V12" s="432"/>
      <c r="W12" s="432"/>
      <c r="X12" s="432"/>
      <c r="Y12" s="432"/>
      <c r="Z12" s="432"/>
      <c r="AA12" s="432"/>
      <c r="AB12" s="432"/>
      <c r="AC12" s="432"/>
    </row>
    <row r="13" spans="1:29" ht="22.5" customHeight="1" x14ac:dyDescent="0.25">
      <c r="A13" s="432"/>
      <c r="C13" s="740" t="s">
        <v>632</v>
      </c>
      <c r="D13" s="741"/>
      <c r="E13" s="741"/>
      <c r="F13" s="741"/>
      <c r="G13" s="742"/>
      <c r="H13" s="732" t="s">
        <v>633</v>
      </c>
      <c r="I13" s="733"/>
      <c r="J13" s="732" t="s">
        <v>20</v>
      </c>
      <c r="K13" s="733"/>
      <c r="L13" s="738" t="s">
        <v>634</v>
      </c>
      <c r="M13" s="476"/>
      <c r="O13" s="432"/>
      <c r="P13" s="432"/>
      <c r="Q13" s="432"/>
      <c r="R13" s="432"/>
      <c r="S13" s="432"/>
      <c r="T13" s="432"/>
      <c r="U13" s="432"/>
      <c r="V13" s="432"/>
      <c r="W13" s="432"/>
      <c r="X13" s="432"/>
      <c r="Y13" s="432"/>
      <c r="Z13" s="432"/>
      <c r="AA13" s="432"/>
      <c r="AB13" s="432"/>
      <c r="AC13" s="432"/>
    </row>
    <row r="14" spans="1:29" ht="21.75" customHeight="1" x14ac:dyDescent="0.25">
      <c r="A14" s="432"/>
      <c r="C14" s="743"/>
      <c r="D14" s="744"/>
      <c r="E14" s="744"/>
      <c r="F14" s="744"/>
      <c r="G14" s="745"/>
      <c r="H14" s="734"/>
      <c r="I14" s="735"/>
      <c r="J14" s="734"/>
      <c r="K14" s="735"/>
      <c r="L14" s="739"/>
      <c r="M14" s="476"/>
      <c r="O14" s="432"/>
      <c r="P14" s="432"/>
      <c r="Q14" s="432"/>
      <c r="R14" s="432"/>
      <c r="S14" s="432"/>
      <c r="T14" s="432"/>
      <c r="U14" s="432"/>
      <c r="V14" s="432"/>
      <c r="W14" s="432"/>
      <c r="X14" s="432"/>
      <c r="Y14" s="432"/>
      <c r="Z14" s="432"/>
      <c r="AA14" s="432"/>
      <c r="AB14" s="432"/>
      <c r="AC14" s="432"/>
    </row>
    <row r="15" spans="1:29" ht="51.75" customHeight="1" x14ac:dyDescent="0.25">
      <c r="A15" s="432"/>
      <c r="C15" s="472">
        <v>1</v>
      </c>
      <c r="D15" s="731" t="str">
        <f>IF(menu!B278&lt;&gt;0,menu!B278,"")</f>
        <v/>
      </c>
      <c r="E15" s="731"/>
      <c r="F15" s="731"/>
      <c r="G15" s="731"/>
      <c r="H15" s="736"/>
      <c r="I15" s="737"/>
      <c r="J15" s="711"/>
      <c r="K15" s="712"/>
      <c r="L15" s="136">
        <f>H15*J15</f>
        <v>0</v>
      </c>
      <c r="M15" s="88"/>
      <c r="O15" s="432"/>
      <c r="P15" s="432"/>
      <c r="Q15" s="432"/>
      <c r="R15" s="432"/>
      <c r="S15" s="432"/>
      <c r="T15" s="432"/>
      <c r="U15" s="432"/>
      <c r="V15" s="432"/>
      <c r="W15" s="432"/>
      <c r="X15" s="432"/>
      <c r="Y15" s="432"/>
      <c r="Z15" s="432"/>
      <c r="AA15" s="432"/>
      <c r="AB15" s="432"/>
      <c r="AC15" s="432"/>
    </row>
    <row r="16" spans="1:29" ht="39.75" customHeight="1" x14ac:dyDescent="0.25">
      <c r="A16" s="432"/>
      <c r="C16" s="472">
        <v>2</v>
      </c>
      <c r="D16" s="731" t="str">
        <f>IF(menu!B279&lt;&gt;0,menu!B279,"")</f>
        <v/>
      </c>
      <c r="E16" s="731"/>
      <c r="F16" s="731"/>
      <c r="G16" s="731"/>
      <c r="H16" s="736"/>
      <c r="I16" s="737"/>
      <c r="J16" s="711"/>
      <c r="K16" s="712"/>
      <c r="L16" s="136">
        <f t="shared" ref="L16:L23" si="0">H16*J16</f>
        <v>0</v>
      </c>
      <c r="M16" s="88"/>
      <c r="O16" s="432"/>
      <c r="P16" s="432"/>
      <c r="Q16" s="432"/>
      <c r="R16" s="432"/>
      <c r="S16" s="432"/>
      <c r="T16" s="432"/>
      <c r="U16" s="432"/>
      <c r="V16" s="432"/>
      <c r="W16" s="432"/>
      <c r="X16" s="432"/>
      <c r="Y16" s="432"/>
      <c r="Z16" s="432"/>
      <c r="AA16" s="432"/>
      <c r="AB16" s="432"/>
      <c r="AC16" s="432"/>
    </row>
    <row r="17" spans="1:29" ht="39.75" customHeight="1" x14ac:dyDescent="0.25">
      <c r="A17" s="432"/>
      <c r="C17" s="472">
        <v>3</v>
      </c>
      <c r="D17" s="731" t="str">
        <f>IF(menu!B280&lt;&gt;0,menu!B280,"")</f>
        <v/>
      </c>
      <c r="E17" s="731"/>
      <c r="F17" s="731"/>
      <c r="G17" s="731"/>
      <c r="H17" s="736"/>
      <c r="I17" s="737"/>
      <c r="J17" s="711"/>
      <c r="K17" s="712"/>
      <c r="L17" s="136">
        <f t="shared" si="0"/>
        <v>0</v>
      </c>
      <c r="M17" s="88"/>
      <c r="O17" s="432"/>
      <c r="P17" s="432"/>
      <c r="Q17" s="432"/>
      <c r="R17" s="432"/>
      <c r="S17" s="432"/>
      <c r="T17" s="432"/>
      <c r="U17" s="432"/>
      <c r="V17" s="432"/>
      <c r="W17" s="432"/>
      <c r="X17" s="432"/>
      <c r="Y17" s="432"/>
      <c r="Z17" s="432"/>
      <c r="AA17" s="432"/>
      <c r="AB17" s="432"/>
      <c r="AC17" s="432"/>
    </row>
    <row r="18" spans="1:29" ht="39.75" customHeight="1" x14ac:dyDescent="0.25">
      <c r="A18" s="432"/>
      <c r="C18" s="472" t="s">
        <v>647</v>
      </c>
      <c r="D18" s="731" t="str">
        <f>IF(menu!B281&lt;&gt;0,menu!B281,"")</f>
        <v/>
      </c>
      <c r="E18" s="731"/>
      <c r="F18" s="731"/>
      <c r="G18" s="731"/>
      <c r="H18" s="736"/>
      <c r="I18" s="737"/>
      <c r="J18" s="711"/>
      <c r="K18" s="712"/>
      <c r="L18" s="136">
        <f t="shared" si="0"/>
        <v>0</v>
      </c>
      <c r="M18" s="88"/>
      <c r="O18" s="432"/>
      <c r="P18" s="432"/>
      <c r="Q18" s="432"/>
      <c r="R18" s="432"/>
      <c r="S18" s="432"/>
      <c r="T18" s="432"/>
      <c r="U18" s="432"/>
      <c r="V18" s="432"/>
      <c r="W18" s="432"/>
      <c r="X18" s="432"/>
      <c r="Y18" s="432"/>
      <c r="Z18" s="432"/>
      <c r="AA18" s="432"/>
      <c r="AB18" s="432"/>
      <c r="AC18" s="432"/>
    </row>
    <row r="19" spans="1:29" ht="39.75" customHeight="1" x14ac:dyDescent="0.25">
      <c r="A19" s="432"/>
      <c r="C19" s="472" t="s">
        <v>646</v>
      </c>
      <c r="D19" s="731" t="str">
        <f>IF(menu!B282&lt;&gt;0,menu!B282,"")</f>
        <v/>
      </c>
      <c r="E19" s="731"/>
      <c r="F19" s="731"/>
      <c r="G19" s="731"/>
      <c r="H19" s="736"/>
      <c r="I19" s="737"/>
      <c r="J19" s="711"/>
      <c r="K19" s="712"/>
      <c r="L19" s="136">
        <f t="shared" si="0"/>
        <v>0</v>
      </c>
      <c r="M19" s="88"/>
      <c r="O19" s="432"/>
      <c r="P19" s="432"/>
      <c r="Q19" s="432"/>
      <c r="R19" s="432"/>
      <c r="S19" s="432"/>
      <c r="T19" s="432"/>
      <c r="U19" s="432"/>
      <c r="V19" s="432"/>
      <c r="W19" s="432"/>
      <c r="X19" s="432"/>
      <c r="Y19" s="432"/>
      <c r="Z19" s="432"/>
      <c r="AA19" s="432"/>
      <c r="AB19" s="432"/>
      <c r="AC19" s="432"/>
    </row>
    <row r="20" spans="1:29" ht="39.75" customHeight="1" x14ac:dyDescent="0.25">
      <c r="A20" s="432"/>
      <c r="C20" s="472">
        <v>5</v>
      </c>
      <c r="D20" s="731" t="str">
        <f>IF(menu!B283&lt;&gt;0,menu!B283,"")</f>
        <v/>
      </c>
      <c r="E20" s="731"/>
      <c r="F20" s="731"/>
      <c r="G20" s="731"/>
      <c r="H20" s="736"/>
      <c r="I20" s="737"/>
      <c r="J20" s="711"/>
      <c r="K20" s="712"/>
      <c r="L20" s="136">
        <f t="shared" si="0"/>
        <v>0</v>
      </c>
      <c r="M20" s="88"/>
      <c r="O20" s="432"/>
      <c r="P20" s="432"/>
      <c r="Q20" s="432"/>
      <c r="R20" s="432"/>
      <c r="S20" s="432"/>
      <c r="T20" s="432"/>
      <c r="U20" s="432"/>
      <c r="V20" s="432"/>
      <c r="W20" s="432"/>
      <c r="X20" s="432"/>
      <c r="Y20" s="432"/>
      <c r="Z20" s="432"/>
      <c r="AA20" s="432"/>
      <c r="AB20" s="432"/>
      <c r="AC20" s="432"/>
    </row>
    <row r="21" spans="1:29" ht="39.75" customHeight="1" x14ac:dyDescent="0.25">
      <c r="A21" s="432"/>
      <c r="C21" s="472">
        <v>6</v>
      </c>
      <c r="D21" s="731" t="str">
        <f>IF(menu!B284&lt;&gt;0,menu!B284,"")</f>
        <v/>
      </c>
      <c r="E21" s="731"/>
      <c r="F21" s="731"/>
      <c r="G21" s="731"/>
      <c r="H21" s="736"/>
      <c r="I21" s="737"/>
      <c r="J21" s="711"/>
      <c r="K21" s="712"/>
      <c r="L21" s="136">
        <f t="shared" si="0"/>
        <v>0</v>
      </c>
      <c r="M21" s="88"/>
      <c r="O21" s="432"/>
      <c r="P21" s="432"/>
      <c r="Q21" s="432"/>
      <c r="R21" s="432"/>
      <c r="S21" s="432"/>
      <c r="T21" s="432"/>
      <c r="U21" s="432"/>
      <c r="V21" s="432"/>
      <c r="W21" s="432"/>
      <c r="X21" s="432"/>
      <c r="Y21" s="432"/>
      <c r="Z21" s="432"/>
      <c r="AA21" s="432"/>
      <c r="AB21" s="432"/>
      <c r="AC21" s="432"/>
    </row>
    <row r="22" spans="1:29" ht="39.75" customHeight="1" x14ac:dyDescent="0.25">
      <c r="A22" s="432"/>
      <c r="C22" s="472">
        <v>7</v>
      </c>
      <c r="D22" s="731" t="str">
        <f>IF(menu!B285&lt;&gt;0,menu!B285,"")</f>
        <v/>
      </c>
      <c r="E22" s="731"/>
      <c r="F22" s="731"/>
      <c r="G22" s="731"/>
      <c r="H22" s="736"/>
      <c r="I22" s="737"/>
      <c r="J22" s="711"/>
      <c r="K22" s="712"/>
      <c r="L22" s="136">
        <f t="shared" si="0"/>
        <v>0</v>
      </c>
      <c r="M22" s="88"/>
      <c r="O22" s="432"/>
      <c r="P22" s="432"/>
      <c r="Q22" s="432"/>
      <c r="R22" s="432"/>
      <c r="S22" s="432"/>
      <c r="T22" s="432"/>
      <c r="U22" s="432"/>
      <c r="V22" s="432"/>
      <c r="W22" s="432"/>
      <c r="X22" s="432"/>
      <c r="Y22" s="432"/>
      <c r="Z22" s="432"/>
      <c r="AA22" s="432"/>
      <c r="AB22" s="432"/>
      <c r="AC22" s="432"/>
    </row>
    <row r="23" spans="1:29" ht="39.75" customHeight="1" x14ac:dyDescent="0.25">
      <c r="A23" s="432"/>
      <c r="C23" s="472" t="str">
        <f t="shared" ref="C23:C24" si="1">IF(D23&lt;&gt;"",C22+1,"")</f>
        <v/>
      </c>
      <c r="D23" s="731" t="str">
        <f>IF(menu!B286&lt;&gt;0,menu!B286,"")</f>
        <v/>
      </c>
      <c r="E23" s="731"/>
      <c r="F23" s="731"/>
      <c r="G23" s="731"/>
      <c r="H23" s="736"/>
      <c r="I23" s="737"/>
      <c r="J23" s="711"/>
      <c r="K23" s="712"/>
      <c r="L23" s="136">
        <f t="shared" si="0"/>
        <v>0</v>
      </c>
      <c r="M23" s="88"/>
      <c r="O23" s="432"/>
      <c r="P23" s="432"/>
      <c r="Q23" s="432"/>
      <c r="R23" s="432"/>
      <c r="S23" s="432"/>
      <c r="T23" s="432"/>
      <c r="U23" s="432"/>
      <c r="V23" s="432"/>
      <c r="W23" s="432"/>
      <c r="X23" s="432"/>
      <c r="Y23" s="432"/>
      <c r="Z23" s="432"/>
      <c r="AA23" s="432"/>
      <c r="AB23" s="432"/>
      <c r="AC23" s="432"/>
    </row>
    <row r="24" spans="1:29" ht="39.75" customHeight="1" x14ac:dyDescent="0.25">
      <c r="A24" s="432"/>
      <c r="C24" s="506" t="str">
        <f t="shared" si="1"/>
        <v/>
      </c>
      <c r="D24" s="730" t="str">
        <f>IF(menu!B287&lt;&gt;0,menu!B287,"")</f>
        <v/>
      </c>
      <c r="E24" s="730"/>
      <c r="F24" s="730"/>
      <c r="G24" s="730"/>
      <c r="H24" s="715" t="s">
        <v>676</v>
      </c>
      <c r="I24" s="716"/>
      <c r="J24" s="716"/>
      <c r="K24" s="717"/>
      <c r="L24" s="508">
        <f>Begl_Öffentlichkeitsarbeit!L20+Begl_Öffentlichkeitsarbeit!L35+Begl_Öffentlichkeitsarbeit!L40</f>
        <v>0</v>
      </c>
      <c r="M24" s="88"/>
      <c r="O24" s="432"/>
      <c r="P24" s="432"/>
      <c r="Q24" s="432"/>
      <c r="R24" s="432"/>
      <c r="S24" s="432"/>
      <c r="T24" s="432"/>
      <c r="U24" s="432"/>
      <c r="V24" s="432"/>
      <c r="W24" s="432"/>
      <c r="X24" s="432"/>
      <c r="Y24" s="432"/>
      <c r="Z24" s="432"/>
      <c r="AA24" s="432"/>
      <c r="AB24" s="432"/>
      <c r="AC24" s="432"/>
    </row>
    <row r="25" spans="1:29" ht="12.75" customHeight="1" thickBot="1" x14ac:dyDescent="0.3">
      <c r="A25" s="432"/>
      <c r="C25" s="180"/>
      <c r="D25" s="723"/>
      <c r="E25" s="723"/>
      <c r="F25" s="723"/>
      <c r="G25" s="723"/>
      <c r="H25" s="181"/>
      <c r="I25" s="473"/>
      <c r="J25" s="713" t="s">
        <v>639</v>
      </c>
      <c r="K25" s="714"/>
      <c r="L25" s="474">
        <f>SUM(L15:L24)</f>
        <v>0</v>
      </c>
      <c r="O25" s="432"/>
      <c r="P25" s="432"/>
      <c r="Q25" s="432"/>
      <c r="R25" s="432"/>
      <c r="S25" s="432"/>
      <c r="T25" s="432"/>
      <c r="U25" s="432"/>
      <c r="V25" s="432"/>
      <c r="W25" s="432"/>
      <c r="X25" s="432"/>
      <c r="Y25" s="432"/>
      <c r="Z25" s="432"/>
      <c r="AA25" s="432"/>
      <c r="AB25" s="432"/>
      <c r="AC25" s="432"/>
    </row>
    <row r="26" spans="1:29" ht="12.75" customHeight="1" x14ac:dyDescent="0.25">
      <c r="A26" s="432"/>
      <c r="C26" s="180"/>
      <c r="D26" s="495"/>
      <c r="E26" s="495"/>
      <c r="F26" s="495"/>
      <c r="G26" s="495"/>
      <c r="H26" s="181"/>
      <c r="I26" s="181"/>
      <c r="J26" s="498"/>
      <c r="K26" s="498"/>
      <c r="L26" s="499"/>
      <c r="O26" s="432"/>
      <c r="P26" s="432"/>
      <c r="Q26" s="432"/>
      <c r="R26" s="432"/>
      <c r="S26" s="432"/>
      <c r="T26" s="432"/>
      <c r="U26" s="432"/>
      <c r="V26" s="432"/>
      <c r="W26" s="432"/>
      <c r="X26" s="432"/>
      <c r="Y26" s="432"/>
      <c r="Z26" s="432"/>
      <c r="AA26" s="432"/>
      <c r="AB26" s="432"/>
      <c r="AC26" s="432"/>
    </row>
    <row r="27" spans="1:29" ht="27.75" customHeight="1" x14ac:dyDescent="0.25">
      <c r="A27" s="432"/>
      <c r="C27" s="180"/>
      <c r="D27" s="495"/>
      <c r="E27" s="495"/>
      <c r="F27" s="495"/>
      <c r="G27" s="476"/>
      <c r="H27" s="728" t="s">
        <v>672</v>
      </c>
      <c r="I27" s="728"/>
      <c r="J27" s="728"/>
      <c r="K27" s="728"/>
      <c r="L27" s="507">
        <f>L18+L23+L24</f>
        <v>0</v>
      </c>
      <c r="O27" s="432"/>
      <c r="P27" s="432"/>
      <c r="Q27" s="432"/>
      <c r="R27" s="432"/>
      <c r="S27" s="432"/>
      <c r="T27" s="432"/>
      <c r="U27" s="432"/>
      <c r="V27" s="432"/>
      <c r="W27" s="432"/>
      <c r="X27" s="432"/>
      <c r="Y27" s="432"/>
      <c r="Z27" s="432"/>
      <c r="AA27" s="432"/>
      <c r="AB27" s="432"/>
      <c r="AC27" s="432"/>
    </row>
    <row r="28" spans="1:29" ht="30" customHeight="1" x14ac:dyDescent="0.25">
      <c r="A28" s="432"/>
      <c r="C28" s="729" t="str">
        <f>IF(AND(L27&gt;=0, L27&lt;=20000), "", "Ausgaben zu hoch. Zuwendungsfähig sind Ausgaben im Umfang von maximal 20.000 € für die Organisation und Durchführung von Akteursbeteiligung, begleitende Öffentlichkeitsarbeit, Endredaktion sowie für den Druck des Konzeptes.")</f>
        <v/>
      </c>
      <c r="D28" s="729"/>
      <c r="E28" s="729"/>
      <c r="F28" s="729"/>
      <c r="G28" s="729"/>
      <c r="H28" s="729"/>
      <c r="I28" s="729"/>
      <c r="J28" s="729"/>
      <c r="K28" s="729"/>
      <c r="L28" s="729"/>
      <c r="O28" s="432"/>
      <c r="P28" s="432"/>
      <c r="Q28" s="432"/>
      <c r="R28" s="432"/>
      <c r="S28" s="432"/>
      <c r="T28" s="432"/>
      <c r="U28" s="432"/>
      <c r="V28" s="432"/>
      <c r="W28" s="432"/>
      <c r="X28" s="432"/>
      <c r="Y28" s="432"/>
      <c r="Z28" s="432"/>
      <c r="AA28" s="432"/>
      <c r="AB28" s="432"/>
      <c r="AC28" s="432"/>
    </row>
    <row r="29" spans="1:29" ht="12.75" customHeight="1" x14ac:dyDescent="0.25">
      <c r="A29" s="432"/>
      <c r="E29" s="99"/>
      <c r="F29" s="99"/>
      <c r="G29" s="99"/>
      <c r="H29" s="99"/>
      <c r="I29" s="99"/>
      <c r="J29" s="727"/>
      <c r="K29" s="727"/>
      <c r="L29" s="727"/>
      <c r="O29" s="432"/>
      <c r="P29" s="432"/>
      <c r="Q29" s="432"/>
      <c r="R29" s="432"/>
      <c r="S29" s="432"/>
      <c r="T29" s="432"/>
      <c r="U29" s="432"/>
      <c r="V29" s="432"/>
      <c r="W29" s="432"/>
      <c r="X29" s="432"/>
      <c r="Y29" s="432"/>
      <c r="Z29" s="432"/>
      <c r="AA29" s="432"/>
      <c r="AB29" s="432"/>
      <c r="AC29" s="432"/>
    </row>
    <row r="30" spans="1:29" ht="51" customHeight="1" x14ac:dyDescent="0.25">
      <c r="A30" s="432"/>
      <c r="C30" s="724" t="s">
        <v>679</v>
      </c>
      <c r="D30" s="725"/>
      <c r="E30" s="725"/>
      <c r="F30" s="725"/>
      <c r="G30" s="725"/>
      <c r="H30" s="725"/>
      <c r="I30" s="725"/>
      <c r="J30" s="725"/>
      <c r="K30" s="725"/>
      <c r="L30" s="726"/>
      <c r="O30" s="432"/>
      <c r="P30" s="432"/>
      <c r="Q30" s="432"/>
      <c r="R30" s="432"/>
      <c r="S30" s="432"/>
      <c r="T30" s="432"/>
      <c r="U30" s="432"/>
      <c r="V30" s="432"/>
      <c r="W30" s="432"/>
      <c r="X30" s="432"/>
      <c r="Y30" s="432"/>
      <c r="Z30" s="432"/>
      <c r="AA30" s="432"/>
      <c r="AB30" s="432"/>
      <c r="AC30" s="432"/>
    </row>
    <row r="31" spans="1:29" ht="6" customHeight="1" thickBot="1" x14ac:dyDescent="0.3">
      <c r="A31" s="432"/>
      <c r="C31" s="133"/>
      <c r="D31" s="133"/>
      <c r="E31" s="398"/>
      <c r="F31" s="398"/>
      <c r="G31" s="398"/>
      <c r="H31" s="398"/>
      <c r="I31" s="398"/>
      <c r="J31" s="475"/>
      <c r="K31" s="475"/>
      <c r="L31" s="475"/>
      <c r="O31" s="432"/>
      <c r="P31" s="432"/>
      <c r="Q31" s="432"/>
      <c r="R31" s="432"/>
      <c r="S31" s="432"/>
      <c r="T31" s="432"/>
      <c r="U31" s="432"/>
      <c r="V31" s="432"/>
      <c r="W31" s="432"/>
      <c r="X31" s="432"/>
      <c r="Y31" s="432"/>
      <c r="Z31" s="432"/>
      <c r="AA31" s="432"/>
      <c r="AB31" s="432"/>
      <c r="AC31" s="432"/>
    </row>
    <row r="32" spans="1:29" ht="23.25" customHeight="1" thickBot="1" x14ac:dyDescent="0.3">
      <c r="A32" s="432"/>
      <c r="C32" s="464"/>
      <c r="D32" s="720" t="s">
        <v>542</v>
      </c>
      <c r="E32" s="720"/>
      <c r="F32" s="720"/>
      <c r="G32" s="720"/>
      <c r="H32" s="720"/>
      <c r="I32" s="720"/>
      <c r="J32" s="720"/>
      <c r="K32" s="720"/>
      <c r="L32" s="721"/>
      <c r="M32" s="160">
        <f>IF(AND(L25&gt;0,menu!B55=FALSE),1,0)</f>
        <v>0</v>
      </c>
      <c r="O32" s="432"/>
      <c r="P32" s="432"/>
      <c r="Q32" s="432"/>
      <c r="R32" s="432"/>
      <c r="S32" s="432"/>
      <c r="T32" s="432"/>
      <c r="U32" s="432"/>
      <c r="V32" s="432"/>
      <c r="W32" s="432"/>
      <c r="X32" s="432"/>
      <c r="Y32" s="432"/>
      <c r="Z32" s="432"/>
      <c r="AA32" s="432"/>
      <c r="AB32" s="432"/>
      <c r="AC32" s="432"/>
    </row>
    <row r="33" spans="1:29" ht="6.75" customHeight="1" x14ac:dyDescent="0.25">
      <c r="A33" s="432"/>
      <c r="C33" s="107"/>
      <c r="D33" s="107"/>
      <c r="E33" s="107"/>
      <c r="F33" s="107"/>
      <c r="G33" s="107"/>
      <c r="H33" s="107"/>
      <c r="I33" s="107"/>
      <c r="J33" s="107"/>
      <c r="K33" s="107"/>
      <c r="L33" s="123"/>
      <c r="O33" s="432"/>
      <c r="P33" s="432"/>
      <c r="Q33" s="432"/>
      <c r="R33" s="432"/>
      <c r="S33" s="432"/>
      <c r="T33" s="432"/>
      <c r="U33" s="432"/>
      <c r="V33" s="432"/>
      <c r="W33" s="432"/>
      <c r="X33" s="432"/>
      <c r="Y33" s="432"/>
      <c r="Z33" s="432"/>
      <c r="AA33" s="432"/>
      <c r="AB33" s="432"/>
      <c r="AC33" s="432"/>
    </row>
    <row r="34" spans="1:29" ht="12" customHeight="1" x14ac:dyDescent="0.25">
      <c r="A34" s="432"/>
      <c r="C34" s="722" t="s">
        <v>183</v>
      </c>
      <c r="D34" s="722"/>
      <c r="E34" s="722"/>
      <c r="F34" s="722"/>
      <c r="G34" s="722"/>
      <c r="H34" s="722"/>
      <c r="I34" s="722"/>
      <c r="J34" s="722"/>
      <c r="K34" s="722"/>
      <c r="L34" s="722"/>
      <c r="M34" s="722"/>
      <c r="O34" s="432"/>
      <c r="P34" s="432"/>
      <c r="Q34" s="432"/>
      <c r="R34" s="432"/>
      <c r="S34" s="432"/>
      <c r="T34" s="432"/>
      <c r="U34" s="432"/>
      <c r="V34" s="432"/>
      <c r="W34" s="432"/>
      <c r="X34" s="432"/>
      <c r="Y34" s="432"/>
      <c r="Z34" s="432"/>
      <c r="AA34" s="432"/>
      <c r="AB34" s="432"/>
      <c r="AC34" s="432"/>
    </row>
    <row r="35" spans="1:29" ht="21" customHeight="1" x14ac:dyDescent="0.25">
      <c r="A35" s="432"/>
      <c r="C35" s="718" t="str">
        <f>Basisdaten!C46</f>
        <v>Vorhabenbeschreibung 
4.1.10 a): Erstellung eines 
Fokuskonzeptes 2509_V3</v>
      </c>
      <c r="D35" s="719"/>
      <c r="E35" s="719"/>
      <c r="F35" s="719"/>
      <c r="G35" s="719"/>
      <c r="H35" s="719"/>
      <c r="I35" s="719"/>
      <c r="J35" s="719"/>
      <c r="K35" s="719"/>
      <c r="L35" s="719"/>
      <c r="O35" s="432"/>
      <c r="P35" s="432"/>
      <c r="Q35" s="432"/>
      <c r="R35" s="432"/>
      <c r="S35" s="432"/>
      <c r="T35" s="432"/>
      <c r="U35" s="432"/>
      <c r="V35" s="432"/>
      <c r="W35" s="432"/>
      <c r="X35" s="432"/>
      <c r="Y35" s="432"/>
      <c r="Z35" s="432"/>
      <c r="AA35" s="432"/>
      <c r="AB35" s="432"/>
      <c r="AC35" s="432"/>
    </row>
    <row r="36" spans="1:29" x14ac:dyDescent="0.25">
      <c r="A36" s="432"/>
      <c r="O36" s="432"/>
      <c r="P36" s="432"/>
      <c r="Q36" s="432"/>
      <c r="R36" s="432"/>
      <c r="S36" s="432"/>
      <c r="T36" s="432"/>
      <c r="U36" s="432"/>
      <c r="V36" s="432"/>
      <c r="W36" s="432"/>
      <c r="X36" s="432"/>
      <c r="Y36" s="432"/>
      <c r="Z36" s="432"/>
      <c r="AA36" s="432"/>
      <c r="AB36" s="432"/>
      <c r="AC36" s="432"/>
    </row>
    <row r="37" spans="1:29" x14ac:dyDescent="0.25">
      <c r="A37" s="432"/>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row>
    <row r="38" spans="1:29" x14ac:dyDescent="0.25">
      <c r="A38" s="432"/>
      <c r="B38" s="432"/>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row>
    <row r="39" spans="1:29" x14ac:dyDescent="0.25">
      <c r="A39" s="432"/>
      <c r="B39" s="432"/>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row>
    <row r="40" spans="1:29" x14ac:dyDescent="0.25">
      <c r="A40" s="432"/>
      <c r="B40" s="432"/>
      <c r="C40" s="432"/>
      <c r="D40" s="432"/>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row>
    <row r="41" spans="1:29" x14ac:dyDescent="0.25">
      <c r="A41" s="432"/>
      <c r="B41" s="432"/>
      <c r="C41" s="43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row>
    <row r="42" spans="1:29" x14ac:dyDescent="0.25">
      <c r="A42" s="432"/>
      <c r="B42" s="432"/>
      <c r="C42" s="432"/>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row>
    <row r="43" spans="1:29" x14ac:dyDescent="0.25">
      <c r="A43" s="432"/>
      <c r="B43" s="432"/>
      <c r="C43" s="432"/>
      <c r="D43" s="432"/>
      <c r="E43" s="432"/>
      <c r="F43" s="432"/>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row>
    <row r="44" spans="1:29" x14ac:dyDescent="0.25">
      <c r="A44" s="432"/>
      <c r="B44" s="432"/>
      <c r="C44" s="432"/>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row>
    <row r="45" spans="1:29" x14ac:dyDescent="0.25">
      <c r="A45" s="432"/>
      <c r="B45" s="432"/>
      <c r="C45" s="432"/>
      <c r="D45" s="432"/>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row>
    <row r="46" spans="1:29" x14ac:dyDescent="0.25">
      <c r="A46" s="432"/>
      <c r="B46" s="432"/>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row>
    <row r="47" spans="1:29" x14ac:dyDescent="0.25">
      <c r="A47" s="432"/>
      <c r="B47" s="432"/>
      <c r="C47" s="432"/>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row>
    <row r="48" spans="1:29" x14ac:dyDescent="0.25">
      <c r="A48" s="432"/>
      <c r="B48" s="432"/>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row>
    <row r="49" spans="1:29" x14ac:dyDescent="0.25">
      <c r="A49" s="432"/>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row>
    <row r="50" spans="1:29" x14ac:dyDescent="0.25">
      <c r="A50" s="432"/>
      <c r="B50" s="432"/>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row>
    <row r="51" spans="1:29" x14ac:dyDescent="0.25">
      <c r="A51" s="432"/>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row>
    <row r="52" spans="1:29" x14ac:dyDescent="0.25">
      <c r="A52" s="432"/>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row>
    <row r="53" spans="1:29" x14ac:dyDescent="0.25">
      <c r="A53" s="432"/>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row>
    <row r="54" spans="1:29" x14ac:dyDescent="0.25">
      <c r="A54" s="432"/>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row>
    <row r="55" spans="1:29" x14ac:dyDescent="0.25">
      <c r="A55" s="432"/>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row>
    <row r="56" spans="1:29" x14ac:dyDescent="0.25">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row>
    <row r="57" spans="1:29" x14ac:dyDescent="0.25">
      <c r="A57" s="432"/>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row>
    <row r="58" spans="1:29" x14ac:dyDescent="0.25">
      <c r="A58" s="432"/>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row>
    <row r="59" spans="1:29" x14ac:dyDescent="0.25">
      <c r="A59" s="432"/>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row>
    <row r="60" spans="1:29" x14ac:dyDescent="0.25">
      <c r="A60" s="432"/>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row>
    <row r="61" spans="1:29" x14ac:dyDescent="0.25">
      <c r="A61" s="432"/>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row>
    <row r="62" spans="1:29" x14ac:dyDescent="0.25">
      <c r="A62" s="432"/>
      <c r="B62" s="432"/>
      <c r="C62" s="432"/>
      <c r="D62" s="432"/>
      <c r="E62" s="432"/>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row>
    <row r="63" spans="1:29" x14ac:dyDescent="0.25">
      <c r="A63" s="432"/>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row>
    <row r="64" spans="1:29" x14ac:dyDescent="0.25">
      <c r="A64" s="432"/>
      <c r="B64" s="432"/>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row>
    <row r="65" spans="1:29" x14ac:dyDescent="0.25">
      <c r="A65" s="432"/>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row>
    <row r="66" spans="1:29" x14ac:dyDescent="0.25">
      <c r="A66" s="432"/>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row>
    <row r="67" spans="1:29" x14ac:dyDescent="0.25">
      <c r="A67" s="432"/>
      <c r="B67" s="432"/>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row>
    <row r="68" spans="1:29" x14ac:dyDescent="0.25">
      <c r="A68" s="432"/>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row>
    <row r="69" spans="1:29" x14ac:dyDescent="0.25">
      <c r="A69" s="432"/>
      <c r="B69" s="432"/>
      <c r="C69" s="432"/>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row>
    <row r="70" spans="1:29" x14ac:dyDescent="0.25">
      <c r="A70" s="432"/>
      <c r="B70" s="432"/>
      <c r="C70" s="432"/>
      <c r="D70" s="432"/>
      <c r="E70" s="432"/>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row>
    <row r="71" spans="1:29" x14ac:dyDescent="0.25">
      <c r="A71" s="432"/>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row>
    <row r="72" spans="1:29" x14ac:dyDescent="0.25">
      <c r="A72" s="432"/>
      <c r="B72" s="432"/>
      <c r="C72" s="432"/>
      <c r="D72" s="432"/>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row>
    <row r="73" spans="1:29" x14ac:dyDescent="0.25">
      <c r="A73" s="432"/>
      <c r="B73" s="432"/>
      <c r="C73" s="432"/>
      <c r="D73" s="432"/>
      <c r="E73" s="432"/>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row>
    <row r="74" spans="1:29" x14ac:dyDescent="0.25">
      <c r="A74" s="432"/>
      <c r="B74" s="432"/>
      <c r="C74" s="432"/>
      <c r="D74" s="432"/>
      <c r="E74" s="432"/>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row>
    <row r="75" spans="1:29" x14ac:dyDescent="0.25">
      <c r="A75" s="432"/>
      <c r="B75" s="432"/>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row>
    <row r="76" spans="1:29" x14ac:dyDescent="0.25">
      <c r="A76" s="432"/>
      <c r="B76" s="432"/>
      <c r="C76" s="432"/>
      <c r="D76" s="432"/>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row>
    <row r="77" spans="1:29" x14ac:dyDescent="0.25">
      <c r="A77" s="432"/>
      <c r="B77" s="432"/>
      <c r="C77" s="432"/>
      <c r="D77" s="432"/>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row>
    <row r="78" spans="1:29" x14ac:dyDescent="0.25">
      <c r="A78" s="432"/>
      <c r="B78" s="432"/>
      <c r="C78" s="432"/>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row>
    <row r="79" spans="1:29" x14ac:dyDescent="0.25">
      <c r="A79" s="432"/>
      <c r="B79" s="432"/>
      <c r="C79" s="432"/>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row>
    <row r="80" spans="1:29" x14ac:dyDescent="0.25">
      <c r="A80" s="432"/>
      <c r="B80" s="432"/>
      <c r="C80" s="432"/>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row>
    <row r="81" spans="1:29" x14ac:dyDescent="0.25">
      <c r="A81" s="432"/>
      <c r="B81" s="432"/>
      <c r="C81" s="432"/>
      <c r="D81" s="432"/>
      <c r="E81" s="432"/>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t="s">
        <v>219</v>
      </c>
    </row>
  </sheetData>
  <sheetProtection password="C730" sheet="1" objects="1" scenarios="1" selectLockedCells="1"/>
  <customSheetViews>
    <customSheetView guid="{68ABA936-E0C3-4F62-AA1D-4FD1F5462098}" showPageBreaks="1" showGridLines="0" showRowCol="0" fitToPage="1" printArea="1" view="pageBreakPreview">
      <selection activeCell="C11" sqref="C11:D11"/>
      <pageMargins left="0.39370078740157483" right="0.39370078740157483" top="0.39370078740157483" bottom="0.39370078740157483" header="0" footer="0"/>
      <printOptions horizontalCentered="1"/>
      <pageSetup paperSize="9" scale="75" orientation="portrait" r:id="rId1"/>
    </customSheetView>
  </customSheetViews>
  <mergeCells count="49">
    <mergeCell ref="C5:F5"/>
    <mergeCell ref="C6:F6"/>
    <mergeCell ref="C7:F7"/>
    <mergeCell ref="O3:P3"/>
    <mergeCell ref="O4:P4"/>
    <mergeCell ref="C3:H4"/>
    <mergeCell ref="C10:L10"/>
    <mergeCell ref="H16:I16"/>
    <mergeCell ref="H17:I17"/>
    <mergeCell ref="H18:I18"/>
    <mergeCell ref="H19:I19"/>
    <mergeCell ref="J13:K14"/>
    <mergeCell ref="J15:K15"/>
    <mergeCell ref="J16:K16"/>
    <mergeCell ref="J17:K17"/>
    <mergeCell ref="J18:K18"/>
    <mergeCell ref="L13:L14"/>
    <mergeCell ref="H15:I15"/>
    <mergeCell ref="C13:G14"/>
    <mergeCell ref="D24:G24"/>
    <mergeCell ref="D21:G21"/>
    <mergeCell ref="D22:G22"/>
    <mergeCell ref="D19:G19"/>
    <mergeCell ref="H13:I14"/>
    <mergeCell ref="D15:G15"/>
    <mergeCell ref="D16:G16"/>
    <mergeCell ref="D17:G17"/>
    <mergeCell ref="D18:G18"/>
    <mergeCell ref="D23:G23"/>
    <mergeCell ref="H21:I21"/>
    <mergeCell ref="H22:I22"/>
    <mergeCell ref="H23:I23"/>
    <mergeCell ref="D20:G20"/>
    <mergeCell ref="H20:I20"/>
    <mergeCell ref="C35:L35"/>
    <mergeCell ref="D32:L32"/>
    <mergeCell ref="C34:M34"/>
    <mergeCell ref="D25:G25"/>
    <mergeCell ref="C30:L30"/>
    <mergeCell ref="J29:L29"/>
    <mergeCell ref="H27:K27"/>
    <mergeCell ref="C28:L28"/>
    <mergeCell ref="J23:K23"/>
    <mergeCell ref="J25:K25"/>
    <mergeCell ref="J19:K19"/>
    <mergeCell ref="J20:K20"/>
    <mergeCell ref="J21:K21"/>
    <mergeCell ref="J22:K22"/>
    <mergeCell ref="H24:K24"/>
  </mergeCells>
  <conditionalFormatting sqref="C32:L32">
    <cfRule type="expression" dxfId="286" priority="2079">
      <formula>SUM(#REF!)&lt;&gt;0</formula>
    </cfRule>
  </conditionalFormatting>
  <conditionalFormatting sqref="H15:K23">
    <cfRule type="expression" dxfId="282" priority="10">
      <formula>H15&lt;&gt;""</formula>
    </cfRule>
  </conditionalFormatting>
  <conditionalFormatting sqref="L18 L23:L24 L27">
    <cfRule type="expression" dxfId="280" priority="5">
      <formula>OR($L$18&gt;20000,$L$23&gt;20000, $L$24&gt;20000, $L$27&gt;20000)</formula>
    </cfRule>
  </conditionalFormatting>
  <dataValidations xWindow="748" yWindow="494" count="1">
    <dataValidation allowBlank="1" promptTitle="Hinweis:" prompt="Es wird von 220 Arbeitstagen pro Jahr je Vollzeitäquivalent (39 Stunden pro Woche) ausgegangen." sqref="H15:H24 L15:M24 I15:K23" xr:uid="{00000000-0002-0000-0900-000000000000}"/>
  </dataValidations>
  <printOptions horizontalCentered="1"/>
  <pageMargins left="0.39370078740157483" right="0.19685039370078741" top="0.19685039370078741" bottom="0.19685039370078741" header="0" footer="0"/>
  <pageSetup paperSize="9" scale="7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2</xdr:col>
                    <xdr:colOff>76200</xdr:colOff>
                    <xdr:row>31</xdr:row>
                    <xdr:rowOff>69850</xdr:rowOff>
                  </from>
                  <to>
                    <xdr:col>2</xdr:col>
                    <xdr:colOff>304800</xdr:colOff>
                    <xdr:row>31</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B37101D-B37B-46E9-B202-52E13D27FEA3}">
            <xm:f>menu!$U$9=FALSE</xm:f>
            <x14:dxf>
              <font>
                <color theme="0"/>
              </font>
              <fill>
                <patternFill>
                  <fgColor theme="0"/>
                  <bgColor theme="0"/>
                </patternFill>
              </fill>
              <border>
                <left/>
                <right/>
                <top/>
                <bottom/>
                <vertical/>
                <horizontal/>
              </border>
            </x14:dxf>
          </x14:cfRule>
          <xm:sqref>C7</xm:sqref>
        </x14:conditionalFormatting>
        <x14:conditionalFormatting xmlns:xm="http://schemas.microsoft.com/office/excel/2006/main">
          <x14:cfRule type="expression" priority="11" id="{A296E944-A3BD-4015-9749-C1D171E1DAD6}">
            <xm:f>menu!$U$11=FALSE</xm:f>
            <x14:dxf>
              <font>
                <color theme="0"/>
              </font>
              <fill>
                <patternFill>
                  <fgColor theme="0"/>
                  <bgColor theme="0"/>
                </patternFill>
              </fill>
              <border>
                <left/>
                <right/>
                <top/>
                <bottom/>
                <vertical/>
                <horizontal/>
              </border>
            </x14:dxf>
          </x14:cfRule>
          <xm:sqref>C30</xm:sqref>
        </x14:conditionalFormatting>
        <x14:conditionalFormatting xmlns:xm="http://schemas.microsoft.com/office/excel/2006/main">
          <x14:cfRule type="expression" priority="54" id="{DF1D4DB3-226E-4477-AF92-E2558FC764AF}">
            <xm:f>menu!$U$4=FALSE</xm:f>
            <x14:dxf>
              <font>
                <color theme="0"/>
              </font>
              <fill>
                <patternFill>
                  <fgColor theme="0"/>
                  <bgColor theme="0"/>
                </patternFill>
              </fill>
              <border>
                <left/>
                <right/>
                <top/>
                <bottom/>
                <vertical/>
                <horizontal/>
              </border>
            </x14:dxf>
          </x14:cfRule>
          <xm:sqref>C34</xm:sqref>
        </x14:conditionalFormatting>
        <x14:conditionalFormatting xmlns:xm="http://schemas.microsoft.com/office/excel/2006/main">
          <x14:cfRule type="expression" priority="28" id="{4037725E-08E6-449E-BEEA-660CB098BB14}">
            <xm:f>menu!$U$11=FALSE</xm:f>
            <x14:dxf>
              <font>
                <color theme="0"/>
              </font>
              <fill>
                <patternFill>
                  <fgColor theme="0"/>
                  <bgColor theme="0"/>
                </patternFill>
              </fill>
              <border>
                <left/>
                <right/>
                <top/>
                <bottom/>
                <vertical/>
                <horizontal/>
              </border>
            </x14:dxf>
          </x14:cfRule>
          <xm:sqref>C15:K23 I3:L8 C9:M9 C10 M10 C11:M12 C13:H13 C14:G14 C24:H24 H25:J26 C25:D27 M25:M31 G27 C28 C29:I29 C31:I31 C32:M35</xm:sqref>
        </x14:conditionalFormatting>
        <x14:conditionalFormatting xmlns:xm="http://schemas.microsoft.com/office/excel/2006/main">
          <x14:cfRule type="expression" priority="92" id="{B7EE62BD-CEAC-4E26-B763-27960C6A792C}">
            <xm:f>menu!$B$55=TRUE</xm:f>
            <x14:dxf>
              <fill>
                <patternFill>
                  <bgColor rgb="FFEBF1DE"/>
                </patternFill>
              </fill>
            </x14:dxf>
          </x14:cfRule>
          <xm:sqref>C32:L32</xm:sqref>
        </x14:conditionalFormatting>
        <x14:conditionalFormatting xmlns:xm="http://schemas.microsoft.com/office/excel/2006/main">
          <x14:cfRule type="expression" priority="21" id="{809E80F1-3337-4B42-B530-AC24309132D5}">
            <xm:f>menu!$U$9=FALSE</xm:f>
            <x14:dxf>
              <font>
                <color theme="0"/>
              </font>
              <fill>
                <patternFill>
                  <fgColor theme="0"/>
                  <bgColor theme="0"/>
                </patternFill>
              </fill>
              <border>
                <left/>
                <right/>
                <top/>
                <bottom/>
                <vertical/>
                <horizontal/>
              </border>
            </x14:dxf>
          </x14:cfRule>
          <xm:sqref>G6 G7:H7</xm:sqref>
        </x14:conditionalFormatting>
        <x14:conditionalFormatting xmlns:xm="http://schemas.microsoft.com/office/excel/2006/main">
          <x14:cfRule type="expression" priority="22" id="{2896BF11-C36D-432C-A9DC-375E2FB0E611}">
            <xm:f>$G$6&gt;menu!$C$160</xm:f>
            <x14:dxf>
              <font>
                <color rgb="FFFF0000"/>
              </font>
              <fill>
                <patternFill patternType="none">
                  <bgColor auto="1"/>
                </patternFill>
              </fill>
            </x14:dxf>
          </x14:cfRule>
          <xm:sqref>G6</xm:sqref>
        </x14:conditionalFormatting>
        <x14:conditionalFormatting xmlns:xm="http://schemas.microsoft.com/office/excel/2006/main">
          <x14:cfRule type="iconSet" priority="19" id="{C0FF78E4-6B6D-433C-949D-D6528DFA5B2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20" id="{8401F561-B456-45B1-8326-6ED38FC9EB65}">
            <xm:f>menu!$U$7=FALSE</xm:f>
            <x14:dxf>
              <font>
                <color theme="0"/>
              </font>
              <fill>
                <patternFill>
                  <fgColor theme="0"/>
                  <bgColor theme="0"/>
                </patternFill>
              </fill>
              <border>
                <left/>
                <right/>
                <top/>
                <bottom/>
                <vertical/>
                <horizontal/>
              </border>
            </x14:dxf>
          </x14:cfRule>
          <xm:sqref>H6</xm:sqref>
        </x14:conditionalFormatting>
        <x14:conditionalFormatting xmlns:xm="http://schemas.microsoft.com/office/excel/2006/main">
          <x14:cfRule type="expression" priority="17" id="{763562C0-CA60-4B8C-BCB1-873201BD9929}">
            <xm:f>menu!$U$11=FALSE</xm:f>
            <x14:dxf>
              <font>
                <color theme="0"/>
              </font>
              <fill>
                <patternFill>
                  <fgColor theme="0"/>
                  <bgColor theme="0"/>
                </patternFill>
              </fill>
              <border>
                <left/>
                <right/>
                <top/>
                <bottom/>
                <vertical/>
                <horizontal/>
              </border>
            </x14:dxf>
          </x14:cfRule>
          <xm:sqref>J13</xm:sqref>
        </x14:conditionalFormatting>
        <x14:conditionalFormatting xmlns:xm="http://schemas.microsoft.com/office/excel/2006/main">
          <x14:cfRule type="expression" priority="14" id="{BD7193E6-41C7-4D8B-9EA8-2266B6876920}">
            <xm:f>menu!$U$11=FALSE</xm:f>
            <x14:dxf>
              <font>
                <color theme="0"/>
              </font>
              <fill>
                <patternFill>
                  <fgColor theme="0"/>
                  <bgColor theme="0"/>
                </patternFill>
              </fill>
              <border>
                <left/>
                <right/>
                <top/>
                <bottom/>
                <vertical/>
                <horizontal/>
              </border>
            </x14:dxf>
          </x14:cfRule>
          <xm:sqref>L25:L27</xm:sqref>
        </x14:conditionalFormatting>
        <x14:conditionalFormatting xmlns:xm="http://schemas.microsoft.com/office/excel/2006/main">
          <x14:cfRule type="expression" priority="16" id="{2FEEE16C-AB7A-49FD-A1E0-D0CD917E5E76}">
            <xm:f>menu!$U$11=FALSE</xm:f>
            <x14:dxf>
              <font>
                <color theme="0"/>
              </font>
              <fill>
                <patternFill>
                  <fgColor theme="0"/>
                  <bgColor theme="0"/>
                </patternFill>
              </fill>
              <border>
                <left/>
                <right/>
                <top/>
                <bottom/>
                <vertical/>
                <horizontal/>
              </border>
            </x14:dxf>
          </x14:cfRule>
          <xm:sqref>L15:M24 L13</xm:sqref>
        </x14:conditionalFormatting>
        <x14:conditionalFormatting xmlns:xm="http://schemas.microsoft.com/office/excel/2006/main">
          <x14:cfRule type="iconSet" priority="62" id="{7A97EA70-1EF1-4519-B3EF-22083275FAF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8"/>
  <dimension ref="B1:AO44"/>
  <sheetViews>
    <sheetView showGridLines="0" showRowColHeaders="0" view="pageBreakPreview" zoomScaleNormal="100" zoomScaleSheetLayoutView="100" workbookViewId="0">
      <selection activeCell="AP8" sqref="AP8"/>
    </sheetView>
  </sheetViews>
  <sheetFormatPr baseColWidth="10" defaultRowHeight="14.5" x14ac:dyDescent="0.35"/>
  <cols>
    <col min="1" max="1" width="2.54296875" customWidth="1"/>
    <col min="2" max="2" width="83.453125" customWidth="1"/>
    <col min="3" max="3" width="0" hidden="1" customWidth="1"/>
    <col min="4" max="4" width="14" hidden="1" customWidth="1"/>
    <col min="5" max="40" width="3.1796875" customWidth="1"/>
    <col min="41" max="41" width="2.26953125" customWidth="1"/>
  </cols>
  <sheetData>
    <row r="1" spans="2:41" ht="13.5" customHeight="1" x14ac:dyDescent="0.35"/>
    <row r="2" spans="2:41" ht="31.5" customHeight="1" x14ac:dyDescent="0.35">
      <c r="B2" s="109" t="s">
        <v>573</v>
      </c>
      <c r="C2" s="109"/>
    </row>
    <row r="3" spans="2:41" ht="15" customHeight="1" x14ac:dyDescent="0.35">
      <c r="B3" s="407" t="s">
        <v>574</v>
      </c>
      <c r="C3" s="109"/>
      <c r="E3" s="211">
        <v>1</v>
      </c>
      <c r="F3" s="211">
        <v>2</v>
      </c>
      <c r="G3" s="211">
        <v>3</v>
      </c>
      <c r="H3" s="211">
        <v>4</v>
      </c>
      <c r="I3" s="211">
        <v>5</v>
      </c>
      <c r="J3" s="211">
        <v>6</v>
      </c>
      <c r="K3" s="211">
        <v>7</v>
      </c>
      <c r="L3" s="211">
        <v>8</v>
      </c>
      <c r="M3" s="211">
        <v>9</v>
      </c>
      <c r="N3" s="211">
        <v>10</v>
      </c>
      <c r="O3" s="211">
        <v>11</v>
      </c>
      <c r="P3" s="211">
        <v>12</v>
      </c>
      <c r="Q3" s="211">
        <v>13</v>
      </c>
      <c r="R3" s="211">
        <v>14</v>
      </c>
      <c r="S3" s="211">
        <v>15</v>
      </c>
      <c r="T3" s="211">
        <v>16</v>
      </c>
      <c r="U3" s="211">
        <v>17</v>
      </c>
      <c r="V3" s="211">
        <v>18</v>
      </c>
      <c r="W3" s="211">
        <v>19</v>
      </c>
      <c r="X3" s="211">
        <v>20</v>
      </c>
      <c r="Y3" s="211">
        <v>21</v>
      </c>
      <c r="Z3" s="211">
        <v>22</v>
      </c>
      <c r="AA3" s="211">
        <v>23</v>
      </c>
      <c r="AB3" s="211">
        <v>24</v>
      </c>
      <c r="AC3">
        <v>25</v>
      </c>
      <c r="AD3">
        <v>26</v>
      </c>
      <c r="AE3">
        <v>27</v>
      </c>
      <c r="AF3">
        <v>28</v>
      </c>
      <c r="AG3">
        <v>29</v>
      </c>
      <c r="AH3">
        <v>30</v>
      </c>
      <c r="AI3">
        <v>31</v>
      </c>
      <c r="AJ3">
        <v>32</v>
      </c>
      <c r="AK3">
        <v>33</v>
      </c>
      <c r="AL3">
        <v>34</v>
      </c>
      <c r="AM3">
        <v>35</v>
      </c>
      <c r="AN3">
        <v>36</v>
      </c>
    </row>
    <row r="4" spans="2:41" ht="74.25" customHeight="1" x14ac:dyDescent="0.35">
      <c r="E4" s="408">
        <f>Personalausgaben!$C$3</f>
        <v>0</v>
      </c>
      <c r="F4" s="408">
        <f>Personalausgaben!$C$4</f>
        <v>32</v>
      </c>
      <c r="G4" s="408">
        <f>Personalausgaben!$C$5</f>
        <v>61</v>
      </c>
      <c r="H4" s="408">
        <f>Personalausgaben!$C$6</f>
        <v>92</v>
      </c>
      <c r="I4" s="408">
        <f>Personalausgaben!$C$7</f>
        <v>122</v>
      </c>
      <c r="J4" s="408">
        <f>Personalausgaben!$C$8</f>
        <v>153</v>
      </c>
      <c r="K4" s="408">
        <f>Personalausgaben!$C$9</f>
        <v>183</v>
      </c>
      <c r="L4" s="408">
        <f>Personalausgaben!$C$10</f>
        <v>214</v>
      </c>
      <c r="M4" s="408">
        <f>Personalausgaben!$C$11</f>
        <v>245</v>
      </c>
      <c r="N4" s="408">
        <f>Personalausgaben!$C$12</f>
        <v>275</v>
      </c>
      <c r="O4" s="408">
        <f>Personalausgaben!$C$13</f>
        <v>306</v>
      </c>
      <c r="P4" s="408">
        <f>Personalausgaben!$C$14</f>
        <v>334</v>
      </c>
      <c r="Q4" s="408">
        <f>Personalausgaben!$C$15</f>
        <v>364</v>
      </c>
      <c r="R4" s="408">
        <f>Personalausgaben!$C$16</f>
        <v>395</v>
      </c>
      <c r="S4" s="408">
        <f>Personalausgaben!$C$17</f>
        <v>426</v>
      </c>
      <c r="T4" s="408">
        <f>Personalausgaben!$C$18</f>
        <v>457</v>
      </c>
      <c r="U4" s="408">
        <f>Personalausgaben!$C$19</f>
        <v>487</v>
      </c>
      <c r="V4" s="408">
        <f>Personalausgaben!$C$20</f>
        <v>518</v>
      </c>
      <c r="W4" s="408">
        <f>Personalausgaben!$C$21</f>
        <v>548</v>
      </c>
      <c r="X4" s="408">
        <f>Personalausgaben!$C$22</f>
        <v>579</v>
      </c>
      <c r="Y4" s="408">
        <f>Personalausgaben!$C$23</f>
        <v>610</v>
      </c>
      <c r="Z4" s="408">
        <f>Personalausgaben!$C$24</f>
        <v>640</v>
      </c>
      <c r="AA4" s="408">
        <f>Personalausgaben!$C$25</f>
        <v>671</v>
      </c>
      <c r="AB4" s="408">
        <f>Personalausgaben!$C$26</f>
        <v>701</v>
      </c>
      <c r="AC4" s="406">
        <f>Personalausgaben!$C$27</f>
        <v>732</v>
      </c>
      <c r="AD4" s="406">
        <f>Personalausgaben!$C$28</f>
        <v>763</v>
      </c>
      <c r="AE4" s="406">
        <f>Personalausgaben!$C$29</f>
        <v>791</v>
      </c>
      <c r="AF4" s="406">
        <f>Personalausgaben!$C$30</f>
        <v>822</v>
      </c>
      <c r="AG4" s="406">
        <f>Personalausgaben!$C$31</f>
        <v>852</v>
      </c>
      <c r="AH4" s="406">
        <f>Personalausgaben!$C$32</f>
        <v>883</v>
      </c>
      <c r="AI4" s="406">
        <f>Personalausgaben!$C$33</f>
        <v>913</v>
      </c>
      <c r="AJ4" s="406">
        <f>Personalausgaben!$C$34</f>
        <v>944</v>
      </c>
      <c r="AK4" s="406">
        <f>Personalausgaben!$C$35</f>
        <v>975</v>
      </c>
      <c r="AL4" s="406">
        <f>Personalausgaben!$C$36</f>
        <v>1005</v>
      </c>
      <c r="AM4" s="406">
        <f>Personalausgaben!$C$37</f>
        <v>1036</v>
      </c>
      <c r="AN4" s="406">
        <f>Personalausgaben!$C$38</f>
        <v>1066</v>
      </c>
      <c r="AO4" s="406"/>
    </row>
    <row r="5" spans="2:41" x14ac:dyDescent="0.35">
      <c r="B5" t="e">
        <f>IF(#REF!="","",#REF!)</f>
        <v>#REF!</v>
      </c>
      <c r="C5" s="324" t="e">
        <f>#REF!</f>
        <v>#REF!</v>
      </c>
      <c r="D5" s="364" t="e">
        <f>#REF!</f>
        <v>#REF!</v>
      </c>
      <c r="G5" s="364"/>
    </row>
    <row r="6" spans="2:41" x14ac:dyDescent="0.35">
      <c r="B6" t="e">
        <f>IF(#REF!="","",#REF!)</f>
        <v>#REF!</v>
      </c>
      <c r="C6" s="324" t="e">
        <f>#REF!</f>
        <v>#REF!</v>
      </c>
      <c r="D6" s="364" t="e">
        <f>#REF!</f>
        <v>#REF!</v>
      </c>
      <c r="G6" s="364"/>
    </row>
    <row r="7" spans="2:41" x14ac:dyDescent="0.35">
      <c r="B7" t="e">
        <f>IF(#REF!="","",#REF!)</f>
        <v>#REF!</v>
      </c>
      <c r="C7" s="324" t="e">
        <f>#REF!</f>
        <v>#REF!</v>
      </c>
      <c r="D7" s="364" t="e">
        <f>#REF!</f>
        <v>#REF!</v>
      </c>
      <c r="G7" s="364"/>
    </row>
    <row r="8" spans="2:41" x14ac:dyDescent="0.35">
      <c r="B8" t="e">
        <f>IF(#REF!="","",#REF!)</f>
        <v>#REF!</v>
      </c>
      <c r="C8" s="324" t="e">
        <f>#REF!</f>
        <v>#REF!</v>
      </c>
      <c r="D8" s="364" t="e">
        <f>#REF!</f>
        <v>#REF!</v>
      </c>
      <c r="G8" s="364"/>
    </row>
    <row r="9" spans="2:41" x14ac:dyDescent="0.35">
      <c r="B9" t="e">
        <f>IF(#REF!="","",#REF!)</f>
        <v>#REF!</v>
      </c>
      <c r="C9" s="324" t="e">
        <f>#REF!</f>
        <v>#REF!</v>
      </c>
      <c r="D9" s="364" t="e">
        <f>#REF!</f>
        <v>#REF!</v>
      </c>
      <c r="G9" s="364"/>
    </row>
    <row r="10" spans="2:41" x14ac:dyDescent="0.35">
      <c r="B10" t="e">
        <f>IF(#REF!="","",#REF!)</f>
        <v>#REF!</v>
      </c>
      <c r="C10" s="324" t="e">
        <f>#REF!</f>
        <v>#REF!</v>
      </c>
      <c r="D10" s="364" t="e">
        <f>#REF!</f>
        <v>#REF!</v>
      </c>
      <c r="G10" s="364"/>
    </row>
    <row r="11" spans="2:41" x14ac:dyDescent="0.35">
      <c r="B11" t="e">
        <f>IF(#REF!="","",#REF!)</f>
        <v>#REF!</v>
      </c>
      <c r="C11" s="324" t="e">
        <f>#REF!</f>
        <v>#REF!</v>
      </c>
      <c r="D11" s="364" t="e">
        <f>#REF!</f>
        <v>#REF!</v>
      </c>
      <c r="G11" s="364"/>
    </row>
    <row r="12" spans="2:41" x14ac:dyDescent="0.35">
      <c r="B12" t="e">
        <f>IF(#REF!="","",#REF!)</f>
        <v>#REF!</v>
      </c>
      <c r="C12" s="324" t="e">
        <f>#REF!</f>
        <v>#REF!</v>
      </c>
      <c r="D12" s="364" t="e">
        <f>#REF!</f>
        <v>#REF!</v>
      </c>
      <c r="G12" s="364"/>
    </row>
    <row r="13" spans="2:41" x14ac:dyDescent="0.35">
      <c r="B13" t="e">
        <f>IF(#REF!="","",#REF!)</f>
        <v>#REF!</v>
      </c>
      <c r="C13" s="324" t="e">
        <f>#REF!</f>
        <v>#REF!</v>
      </c>
      <c r="D13" s="364" t="e">
        <f>#REF!</f>
        <v>#REF!</v>
      </c>
      <c r="G13" s="364"/>
    </row>
    <row r="14" spans="2:41" x14ac:dyDescent="0.35">
      <c r="B14" t="e">
        <f>IF(#REF!="","",#REF!)</f>
        <v>#REF!</v>
      </c>
      <c r="C14" s="324" t="e">
        <f>#REF!</f>
        <v>#REF!</v>
      </c>
      <c r="D14" s="364" t="e">
        <f>#REF!</f>
        <v>#REF!</v>
      </c>
      <c r="G14" s="364"/>
    </row>
    <row r="15" spans="2:41" x14ac:dyDescent="0.35">
      <c r="B15" t="e">
        <f>IF(#REF!="","",#REF!)</f>
        <v>#REF!</v>
      </c>
      <c r="C15" s="324" t="e">
        <f>#REF!</f>
        <v>#REF!</v>
      </c>
      <c r="D15" s="364" t="e">
        <f>#REF!</f>
        <v>#REF!</v>
      </c>
      <c r="G15" s="364"/>
    </row>
    <row r="16" spans="2:41" x14ac:dyDescent="0.35">
      <c r="B16" t="e">
        <f>IF(#REF!="","",#REF!)</f>
        <v>#REF!</v>
      </c>
      <c r="C16" s="324" t="e">
        <f>#REF!</f>
        <v>#REF!</v>
      </c>
      <c r="D16" s="364" t="e">
        <f>#REF!</f>
        <v>#REF!</v>
      </c>
      <c r="G16" s="364"/>
    </row>
    <row r="17" spans="2:7" x14ac:dyDescent="0.35">
      <c r="B17" t="e">
        <f>IF(#REF!="","",#REF!)</f>
        <v>#REF!</v>
      </c>
      <c r="C17" s="324" t="e">
        <f>#REF!</f>
        <v>#REF!</v>
      </c>
      <c r="D17" s="364" t="e">
        <f>#REF!</f>
        <v>#REF!</v>
      </c>
      <c r="G17" s="364"/>
    </row>
    <row r="18" spans="2:7" x14ac:dyDescent="0.35">
      <c r="B18" t="e">
        <f>IF(#REF!="","",#REF!)</f>
        <v>#REF!</v>
      </c>
      <c r="C18" s="324" t="e">
        <f>#REF!</f>
        <v>#REF!</v>
      </c>
      <c r="D18" s="364" t="e">
        <f>#REF!</f>
        <v>#REF!</v>
      </c>
      <c r="G18" s="364"/>
    </row>
    <row r="19" spans="2:7" x14ac:dyDescent="0.35">
      <c r="B19" t="e">
        <f>IF(#REF!="","",#REF!)</f>
        <v>#REF!</v>
      </c>
      <c r="C19" s="324" t="e">
        <f>#REF!</f>
        <v>#REF!</v>
      </c>
      <c r="D19" s="364" t="e">
        <f>#REF!</f>
        <v>#REF!</v>
      </c>
      <c r="G19" s="364"/>
    </row>
    <row r="20" spans="2:7" x14ac:dyDescent="0.35">
      <c r="B20" t="e">
        <f>IF(#REF!="","",#REF!)</f>
        <v>#REF!</v>
      </c>
      <c r="C20" s="324" t="e">
        <f>#REF!</f>
        <v>#REF!</v>
      </c>
      <c r="D20" s="364" t="e">
        <f>#REF!</f>
        <v>#REF!</v>
      </c>
      <c r="G20" s="364"/>
    </row>
    <row r="21" spans="2:7" x14ac:dyDescent="0.35">
      <c r="B21" t="e">
        <f>IF(#REF!="","",#REF!)</f>
        <v>#REF!</v>
      </c>
      <c r="C21" s="324" t="e">
        <f>#REF!</f>
        <v>#REF!</v>
      </c>
      <c r="D21" s="364" t="e">
        <f>#REF!</f>
        <v>#REF!</v>
      </c>
      <c r="G21" s="364"/>
    </row>
    <row r="22" spans="2:7" x14ac:dyDescent="0.35">
      <c r="B22" t="e">
        <f>IF(#REF!="","",#REF!)</f>
        <v>#REF!</v>
      </c>
      <c r="C22" s="324" t="e">
        <f>#REF!</f>
        <v>#REF!</v>
      </c>
      <c r="D22" s="364" t="e">
        <f>#REF!</f>
        <v>#REF!</v>
      </c>
      <c r="G22" s="364"/>
    </row>
    <row r="23" spans="2:7" x14ac:dyDescent="0.35">
      <c r="B23" t="e">
        <f>IF(#REF!="","",#REF!)</f>
        <v>#REF!</v>
      </c>
      <c r="C23" s="324" t="e">
        <f>#REF!</f>
        <v>#REF!</v>
      </c>
      <c r="D23" s="364" t="e">
        <f>#REF!</f>
        <v>#REF!</v>
      </c>
      <c r="G23" s="364"/>
    </row>
    <row r="24" spans="2:7" x14ac:dyDescent="0.35">
      <c r="B24" t="e">
        <f>IF(#REF!="","",#REF!)</f>
        <v>#REF!</v>
      </c>
      <c r="C24" s="324" t="e">
        <f>#REF!</f>
        <v>#REF!</v>
      </c>
      <c r="D24" s="364" t="e">
        <f>#REF!</f>
        <v>#REF!</v>
      </c>
      <c r="G24" s="364"/>
    </row>
    <row r="25" spans="2:7" x14ac:dyDescent="0.35">
      <c r="B25" t="e">
        <f>IF(#REF!="","",#REF!)</f>
        <v>#REF!</v>
      </c>
      <c r="C25" s="324" t="e">
        <f>#REF!</f>
        <v>#REF!</v>
      </c>
      <c r="D25" s="364" t="e">
        <f>#REF!</f>
        <v>#REF!</v>
      </c>
      <c r="G25" s="364"/>
    </row>
    <row r="26" spans="2:7" x14ac:dyDescent="0.35">
      <c r="B26" t="e">
        <f>IF(#REF!="","",#REF!)</f>
        <v>#REF!</v>
      </c>
      <c r="C26" s="324" t="e">
        <f>#REF!</f>
        <v>#REF!</v>
      </c>
      <c r="D26" s="364" t="e">
        <f>#REF!</f>
        <v>#REF!</v>
      </c>
      <c r="G26" s="364"/>
    </row>
    <row r="27" spans="2:7" x14ac:dyDescent="0.35">
      <c r="B27" t="e">
        <f>IF(#REF!="","",#REF!)</f>
        <v>#REF!</v>
      </c>
      <c r="C27" s="324" t="e">
        <f>#REF!</f>
        <v>#REF!</v>
      </c>
      <c r="D27" s="364" t="e">
        <f>#REF!</f>
        <v>#REF!</v>
      </c>
      <c r="G27" s="364"/>
    </row>
    <row r="28" spans="2:7" x14ac:dyDescent="0.35">
      <c r="B28" t="e">
        <f>IF(#REF!="","",#REF!)</f>
        <v>#REF!</v>
      </c>
      <c r="C28" s="324" t="e">
        <f>#REF!</f>
        <v>#REF!</v>
      </c>
      <c r="D28" s="364" t="e">
        <f>#REF!</f>
        <v>#REF!</v>
      </c>
      <c r="G28" s="364"/>
    </row>
    <row r="29" spans="2:7" x14ac:dyDescent="0.35">
      <c r="B29" t="e">
        <f>IF(#REF!="","",#REF!)</f>
        <v>#REF!</v>
      </c>
      <c r="C29" s="324" t="e">
        <f>#REF!</f>
        <v>#REF!</v>
      </c>
      <c r="D29" s="364" t="e">
        <f>#REF!</f>
        <v>#REF!</v>
      </c>
      <c r="G29" s="364"/>
    </row>
    <row r="30" spans="2:7" x14ac:dyDescent="0.35">
      <c r="B30" t="e">
        <f>IF(#REF!="","",#REF!)</f>
        <v>#REF!</v>
      </c>
      <c r="C30" s="324" t="e">
        <f>#REF!</f>
        <v>#REF!</v>
      </c>
      <c r="D30" s="364" t="e">
        <f>#REF!</f>
        <v>#REF!</v>
      </c>
      <c r="G30" s="364"/>
    </row>
    <row r="31" spans="2:7" x14ac:dyDescent="0.35">
      <c r="B31" t="e">
        <f>IF(#REF!="","",#REF!)</f>
        <v>#REF!</v>
      </c>
      <c r="C31" s="324" t="e">
        <f>#REF!</f>
        <v>#REF!</v>
      </c>
      <c r="D31" s="364" t="e">
        <f>#REF!</f>
        <v>#REF!</v>
      </c>
      <c r="G31" s="364"/>
    </row>
    <row r="32" spans="2:7" x14ac:dyDescent="0.35">
      <c r="B32" t="e">
        <f>IF(#REF!="","",#REF!)</f>
        <v>#REF!</v>
      </c>
      <c r="C32" s="324" t="e">
        <f>#REF!</f>
        <v>#REF!</v>
      </c>
      <c r="D32" s="364" t="e">
        <f>#REF!</f>
        <v>#REF!</v>
      </c>
      <c r="G32" s="364"/>
    </row>
    <row r="33" spans="2:7" x14ac:dyDescent="0.35">
      <c r="B33" t="e">
        <f>IF(#REF!="","",#REF!)</f>
        <v>#REF!</v>
      </c>
      <c r="C33" s="324" t="e">
        <f>#REF!</f>
        <v>#REF!</v>
      </c>
      <c r="D33" s="364" t="e">
        <f>#REF!</f>
        <v>#REF!</v>
      </c>
      <c r="G33" s="364"/>
    </row>
    <row r="34" spans="2:7" x14ac:dyDescent="0.35">
      <c r="B34" t="e">
        <f>IF(#REF!="","",#REF!)</f>
        <v>#REF!</v>
      </c>
      <c r="C34" s="324" t="e">
        <f>#REF!</f>
        <v>#REF!</v>
      </c>
      <c r="D34" s="364" t="e">
        <f>#REF!</f>
        <v>#REF!</v>
      </c>
      <c r="G34" s="364"/>
    </row>
    <row r="35" spans="2:7" x14ac:dyDescent="0.35">
      <c r="B35" t="e">
        <f>IF(#REF!="","",#REF!)</f>
        <v>#REF!</v>
      </c>
      <c r="C35" s="324" t="e">
        <f>#REF!</f>
        <v>#REF!</v>
      </c>
      <c r="D35" s="364" t="e">
        <f>#REF!</f>
        <v>#REF!</v>
      </c>
      <c r="G35" s="364"/>
    </row>
    <row r="36" spans="2:7" x14ac:dyDescent="0.35">
      <c r="B36" t="e">
        <f>IF(#REF!="","",#REF!)</f>
        <v>#REF!</v>
      </c>
      <c r="C36" s="324" t="e">
        <f>#REF!</f>
        <v>#REF!</v>
      </c>
      <c r="D36" s="364" t="e">
        <f>#REF!</f>
        <v>#REF!</v>
      </c>
      <c r="G36" s="364"/>
    </row>
    <row r="37" spans="2:7" x14ac:dyDescent="0.35">
      <c r="B37" t="e">
        <f>IF(#REF!="","",#REF!)</f>
        <v>#REF!</v>
      </c>
      <c r="C37" s="324" t="e">
        <f>#REF!</f>
        <v>#REF!</v>
      </c>
      <c r="D37" s="364" t="e">
        <f>#REF!</f>
        <v>#REF!</v>
      </c>
      <c r="G37" s="364"/>
    </row>
    <row r="38" spans="2:7" x14ac:dyDescent="0.35">
      <c r="B38" t="e">
        <f>IF(#REF!="","",#REF!)</f>
        <v>#REF!</v>
      </c>
      <c r="C38" s="324" t="e">
        <f>#REF!</f>
        <v>#REF!</v>
      </c>
      <c r="D38" s="364" t="e">
        <f>#REF!</f>
        <v>#REF!</v>
      </c>
      <c r="G38" s="364"/>
    </row>
    <row r="39" spans="2:7" x14ac:dyDescent="0.35">
      <c r="B39" t="e">
        <f>IF(#REF!="","",#REF!)</f>
        <v>#REF!</v>
      </c>
      <c r="C39" s="324" t="e">
        <f>#REF!</f>
        <v>#REF!</v>
      </c>
      <c r="D39" s="364" t="e">
        <f>#REF!</f>
        <v>#REF!</v>
      </c>
      <c r="G39" s="364"/>
    </row>
    <row r="40" spans="2:7" x14ac:dyDescent="0.35">
      <c r="B40" t="e">
        <f>IF(#REF!="","",#REF!)</f>
        <v>#REF!</v>
      </c>
      <c r="C40" s="324" t="e">
        <f>#REF!</f>
        <v>#REF!</v>
      </c>
      <c r="D40" s="364" t="e">
        <f>#REF!</f>
        <v>#REF!</v>
      </c>
      <c r="G40" s="364"/>
    </row>
    <row r="41" spans="2:7" x14ac:dyDescent="0.35">
      <c r="B41" t="e">
        <f>IF(#REF!="","",#REF!)</f>
        <v>#REF!</v>
      </c>
      <c r="C41" s="324" t="e">
        <f>#REF!</f>
        <v>#REF!</v>
      </c>
      <c r="D41" s="364" t="e">
        <f>#REF!</f>
        <v>#REF!</v>
      </c>
      <c r="G41" s="364"/>
    </row>
    <row r="42" spans="2:7" x14ac:dyDescent="0.35">
      <c r="B42" t="e">
        <f>IF(#REF!="","",#REF!)</f>
        <v>#REF!</v>
      </c>
      <c r="C42" s="324" t="e">
        <f>#REF!</f>
        <v>#REF!</v>
      </c>
      <c r="D42" s="364" t="e">
        <f>#REF!</f>
        <v>#REF!</v>
      </c>
    </row>
    <row r="43" spans="2:7" x14ac:dyDescent="0.35">
      <c r="B43" t="e">
        <f>IF(#REF!="","",#REF!)</f>
        <v>#REF!</v>
      </c>
      <c r="C43" s="324" t="e">
        <f>#REF!</f>
        <v>#REF!</v>
      </c>
      <c r="D43" s="364" t="e">
        <f>#REF!</f>
        <v>#REF!</v>
      </c>
    </row>
    <row r="44" spans="2:7" x14ac:dyDescent="0.35">
      <c r="B44" t="e">
        <f>IF(#REF!="","",#REF!)</f>
        <v>#REF!</v>
      </c>
      <c r="C44" s="324" t="e">
        <f>#REF!</f>
        <v>#REF!</v>
      </c>
      <c r="D44" s="364" t="e">
        <f>#REF!</f>
        <v>#REF!</v>
      </c>
    </row>
  </sheetData>
  <conditionalFormatting sqref="E5:AN44">
    <cfRule type="expression" dxfId="277" priority="3">
      <formula>AND($D5&lt;&gt;"",E$4&lt;=$D5)</formula>
    </cfRule>
  </conditionalFormatting>
  <pageMargins left="0.7" right="0.7" top="0.78740157499999996" bottom="0.78740157499999996" header="0.3" footer="0.3"/>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expression" priority="1" id="{784F16FA-6800-4FAF-8F31-1A564F60DA86}">
            <xm:f>menu!$I$47&lt;2</xm:f>
            <x14:dxf>
              <font>
                <color theme="0"/>
              </font>
            </x14:dxf>
          </x14:cfRule>
          <xm:sqref>Q3:AB4</xm:sqref>
        </x14:conditionalFormatting>
        <x14:conditionalFormatting xmlns:xm="http://schemas.microsoft.com/office/excel/2006/main">
          <x14:cfRule type="expression" priority="2" id="{1AFB17B1-818B-40AD-ADBF-50A171E13D7A}">
            <xm:f>menu!$I$47&lt;3</xm:f>
            <x14:dxf>
              <font>
                <color theme="0"/>
              </font>
            </x14:dxf>
          </x14:cfRule>
          <xm:sqref>AC3:AN4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tabColor rgb="FFFCF2F7"/>
    <pageSetUpPr fitToPage="1"/>
  </sheetPr>
  <dimension ref="A1:AC100"/>
  <sheetViews>
    <sheetView showGridLines="0" showRowColHeaders="0" zoomScaleNormal="100" zoomScaleSheetLayoutView="110" workbookViewId="0">
      <selection activeCell="C14" sqref="C14:I14"/>
    </sheetView>
  </sheetViews>
  <sheetFormatPr baseColWidth="10" defaultColWidth="11.453125" defaultRowHeight="11.5" x14ac:dyDescent="0.25"/>
  <cols>
    <col min="1" max="2" width="2.26953125" style="86" customWidth="1"/>
    <col min="3" max="3" width="6" style="86" customWidth="1"/>
    <col min="4" max="4" width="12.26953125" style="86" customWidth="1"/>
    <col min="5" max="5" width="18.26953125" style="86" customWidth="1"/>
    <col min="6" max="6" width="14.453125" style="86" customWidth="1"/>
    <col min="7" max="7" width="14.54296875" style="86" customWidth="1"/>
    <col min="8" max="8" width="14.1796875" style="86" customWidth="1"/>
    <col min="9" max="9" width="4.7265625" style="86" customWidth="1"/>
    <col min="10" max="10" width="9.7265625" style="86" customWidth="1"/>
    <col min="11" max="11" width="15" style="86" bestFit="1" customWidth="1"/>
    <col min="12" max="12" width="15" style="86" customWidth="1"/>
    <col min="13" max="13" width="3.26953125" style="86" customWidth="1"/>
    <col min="14" max="14" width="2.26953125" style="86" customWidth="1"/>
    <col min="15" max="16384" width="11.453125" style="86"/>
  </cols>
  <sheetData>
    <row r="1" spans="1:29" x14ac:dyDescent="0.25">
      <c r="A1" s="432" t="s">
        <v>219</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row>
    <row r="2" spans="1:29" x14ac:dyDescent="0.25">
      <c r="A2" s="432"/>
      <c r="O2" s="432"/>
      <c r="P2" s="432"/>
      <c r="Q2" s="432"/>
      <c r="R2" s="432"/>
      <c r="S2" s="432"/>
      <c r="T2" s="432"/>
      <c r="U2" s="432"/>
      <c r="V2" s="432"/>
      <c r="W2" s="432"/>
      <c r="X2" s="432"/>
      <c r="Y2" s="432"/>
      <c r="Z2" s="432"/>
      <c r="AA2" s="432"/>
      <c r="AB2" s="432"/>
      <c r="AC2" s="432"/>
    </row>
    <row r="3" spans="1:29" ht="17.25" customHeight="1" x14ac:dyDescent="0.25">
      <c r="A3" s="432"/>
      <c r="C3" s="749" t="s">
        <v>105</v>
      </c>
      <c r="D3" s="749"/>
      <c r="E3" s="749"/>
      <c r="F3" s="749"/>
      <c r="G3" s="749"/>
      <c r="H3" s="108"/>
      <c r="I3" s="478"/>
      <c r="J3" s="88" t="s">
        <v>638</v>
      </c>
      <c r="K3" s="109"/>
      <c r="L3" s="109"/>
      <c r="O3" s="432"/>
      <c r="P3" s="432"/>
      <c r="Q3" s="432"/>
      <c r="R3" s="432"/>
      <c r="S3" s="432"/>
      <c r="T3" s="432"/>
      <c r="U3" s="432"/>
      <c r="V3" s="432"/>
      <c r="W3" s="432"/>
      <c r="X3" s="432"/>
      <c r="Y3" s="432"/>
      <c r="Z3" s="432"/>
      <c r="AA3" s="432"/>
      <c r="AB3" s="432"/>
      <c r="AC3" s="432"/>
    </row>
    <row r="4" spans="1:29" ht="17.25" customHeight="1" x14ac:dyDescent="0.25">
      <c r="A4" s="432"/>
      <c r="C4" s="749"/>
      <c r="D4" s="749"/>
      <c r="E4" s="749"/>
      <c r="F4" s="749"/>
      <c r="G4" s="749"/>
      <c r="H4" s="108"/>
      <c r="I4" s="166"/>
      <c r="J4" s="89" t="s">
        <v>62</v>
      </c>
      <c r="K4" s="109"/>
      <c r="L4" s="109"/>
      <c r="O4" s="432"/>
      <c r="P4" s="432"/>
      <c r="Q4" s="432"/>
      <c r="R4" s="432"/>
      <c r="S4" s="432"/>
      <c r="T4" s="432"/>
      <c r="U4" s="432"/>
      <c r="V4" s="432"/>
      <c r="W4" s="432"/>
      <c r="X4" s="432"/>
      <c r="Y4" s="432"/>
      <c r="Z4" s="432"/>
      <c r="AA4" s="432"/>
      <c r="AB4" s="432"/>
      <c r="AC4" s="432"/>
    </row>
    <row r="5" spans="1:29" ht="17.25" customHeight="1" x14ac:dyDescent="0.25">
      <c r="A5" s="432"/>
      <c r="I5" s="90"/>
      <c r="J5" s="89" t="s">
        <v>61</v>
      </c>
      <c r="O5" s="432"/>
      <c r="P5" s="432"/>
      <c r="Q5" s="432"/>
      <c r="R5" s="432"/>
      <c r="S5" s="432"/>
      <c r="T5" s="432"/>
      <c r="U5" s="432"/>
      <c r="V5" s="432"/>
      <c r="W5" s="432"/>
      <c r="X5" s="432"/>
      <c r="Y5" s="432"/>
      <c r="Z5" s="432"/>
      <c r="AA5" s="432"/>
      <c r="AB5" s="432"/>
      <c r="AC5" s="432"/>
    </row>
    <row r="6" spans="1:29" ht="17.25" customHeight="1" x14ac:dyDescent="0.25">
      <c r="A6" s="432"/>
      <c r="C6" s="129"/>
      <c r="F6" s="416"/>
      <c r="G6" s="8"/>
      <c r="I6" s="91"/>
      <c r="J6" s="89" t="s">
        <v>48</v>
      </c>
      <c r="O6" s="432"/>
      <c r="P6" s="432"/>
      <c r="Q6" s="432"/>
      <c r="R6" s="432"/>
      <c r="S6" s="432"/>
      <c r="T6" s="432"/>
      <c r="U6" s="432"/>
      <c r="V6" s="432"/>
      <c r="W6" s="432"/>
      <c r="X6" s="432"/>
      <c r="Y6" s="432"/>
      <c r="Z6" s="432"/>
      <c r="AA6" s="432"/>
      <c r="AB6" s="432"/>
      <c r="AC6" s="432"/>
    </row>
    <row r="7" spans="1:29" ht="16.5" customHeight="1" x14ac:dyDescent="0.25">
      <c r="A7" s="432"/>
      <c r="C7" s="172"/>
      <c r="I7" s="92"/>
      <c r="J7" s="89" t="s">
        <v>49</v>
      </c>
      <c r="O7" s="432"/>
      <c r="P7" s="432"/>
      <c r="Q7" s="432"/>
      <c r="R7" s="432"/>
      <c r="S7" s="432"/>
      <c r="T7" s="432"/>
      <c r="U7" s="432"/>
      <c r="V7" s="432"/>
      <c r="W7" s="432"/>
      <c r="X7" s="432"/>
      <c r="Y7" s="432"/>
      <c r="Z7" s="432"/>
      <c r="AA7" s="432"/>
      <c r="AB7" s="432"/>
      <c r="AC7" s="432"/>
    </row>
    <row r="8" spans="1:29" ht="6" hidden="1" customHeight="1" x14ac:dyDescent="0.25">
      <c r="A8" s="432"/>
      <c r="I8" s="173"/>
      <c r="J8" s="89"/>
      <c r="O8" s="432"/>
      <c r="P8" s="432"/>
      <c r="Q8" s="432"/>
      <c r="R8" s="432"/>
      <c r="S8" s="432"/>
      <c r="T8" s="432"/>
      <c r="U8" s="432"/>
      <c r="V8" s="432"/>
      <c r="W8" s="432"/>
      <c r="X8" s="432"/>
      <c r="Y8" s="432"/>
      <c r="Z8" s="432"/>
      <c r="AA8" s="432"/>
      <c r="AB8" s="432"/>
      <c r="AC8" s="432"/>
    </row>
    <row r="9" spans="1:29" ht="12" customHeight="1" x14ac:dyDescent="0.25">
      <c r="A9" s="432"/>
      <c r="C9" s="754" t="s">
        <v>9</v>
      </c>
      <c r="D9" s="755"/>
      <c r="E9" s="755"/>
      <c r="F9" s="755"/>
      <c r="G9" s="755"/>
      <c r="H9" s="755"/>
      <c r="I9" s="755"/>
      <c r="J9" s="755"/>
      <c r="K9" s="755"/>
      <c r="L9" s="756"/>
      <c r="O9" s="432"/>
      <c r="P9" s="432"/>
      <c r="Q9" s="432"/>
      <c r="R9" s="432"/>
      <c r="S9" s="432"/>
      <c r="T9" s="432"/>
      <c r="U9" s="432"/>
      <c r="V9" s="432"/>
      <c r="W9" s="432"/>
      <c r="X9" s="432"/>
      <c r="Y9" s="432"/>
      <c r="Z9" s="432"/>
      <c r="AA9" s="432"/>
      <c r="AB9" s="432"/>
      <c r="AC9" s="432"/>
    </row>
    <row r="10" spans="1:29" ht="73" customHeight="1" x14ac:dyDescent="0.25">
      <c r="A10" s="432"/>
      <c r="C10" s="758" t="str">
        <f>Texte!G9</f>
        <v xml:space="preserve">Zuwendungsfähig ist der Einsatz fachkundiger externer Dienstleister zur Konzepterstellung. Bitte beachten Sie, dass für die Organisation und Durchführung von Akteursbeteiligung, begleitende Öffentlichkeitsarbeit, Endredaktion sowie für den Druck des Konzeptes maximal Ausgaben im Umfang von 20.000 € zuwendungsfähig sind. 
Die begleitende Öffentlichkeitsarbeit soll sowohl über die Inhalte, Maßnahmen und Umsetzung des Klimaschutzkonzepts informieren, als auch der Sensibilisierung und Mobilisierung der Bürgerinnen und Bürger dienen, sofern dadurch die Umsetzung der im Klimaschutzkonzept aufgeführten Maßnahmen unterstützt wird. </v>
      </c>
      <c r="D10" s="759"/>
      <c r="E10" s="759"/>
      <c r="F10" s="759"/>
      <c r="G10" s="759"/>
      <c r="H10" s="759"/>
      <c r="I10" s="759"/>
      <c r="J10" s="759"/>
      <c r="K10" s="759"/>
      <c r="L10" s="760"/>
      <c r="O10" s="432"/>
      <c r="P10" s="432"/>
      <c r="Q10" s="432"/>
      <c r="R10" s="432"/>
      <c r="S10" s="432"/>
      <c r="T10" s="432"/>
      <c r="U10" s="432"/>
      <c r="V10" s="432"/>
      <c r="W10" s="432"/>
      <c r="X10" s="432"/>
      <c r="Y10" s="432"/>
      <c r="Z10" s="432"/>
      <c r="AA10" s="432"/>
      <c r="AB10" s="432"/>
      <c r="AC10" s="432"/>
    </row>
    <row r="11" spans="1:29" ht="6" customHeight="1" x14ac:dyDescent="0.25">
      <c r="A11" s="432"/>
      <c r="I11" s="173"/>
      <c r="J11" s="89"/>
      <c r="O11" s="432"/>
      <c r="P11" s="432"/>
      <c r="Q11" s="432"/>
      <c r="R11" s="432"/>
      <c r="S11" s="432"/>
      <c r="T11" s="432"/>
      <c r="U11" s="432"/>
      <c r="V11" s="432"/>
      <c r="W11" s="432"/>
      <c r="X11" s="432"/>
      <c r="Y11" s="432"/>
      <c r="Z11" s="432"/>
      <c r="AA11" s="432"/>
      <c r="AB11" s="432"/>
      <c r="AC11" s="432"/>
    </row>
    <row r="12" spans="1:29" ht="15" customHeight="1" thickBot="1" x14ac:dyDescent="0.3">
      <c r="A12" s="432"/>
      <c r="C12" s="757" t="s">
        <v>582</v>
      </c>
      <c r="D12" s="757"/>
      <c r="E12" s="757"/>
      <c r="F12" s="757"/>
      <c r="G12" s="757"/>
      <c r="H12" s="757"/>
      <c r="I12" s="757"/>
      <c r="J12" s="757"/>
      <c r="K12" s="757"/>
      <c r="L12" s="757"/>
      <c r="O12" s="432"/>
      <c r="P12" s="432"/>
      <c r="Q12" s="432"/>
      <c r="R12" s="432"/>
      <c r="S12" s="432"/>
      <c r="T12" s="432"/>
      <c r="U12" s="432"/>
      <c r="V12" s="432"/>
      <c r="W12" s="432"/>
      <c r="X12" s="432"/>
      <c r="Y12" s="432"/>
      <c r="Z12" s="432"/>
      <c r="AA12" s="432"/>
      <c r="AB12" s="432"/>
      <c r="AC12" s="432"/>
    </row>
    <row r="13" spans="1:29" ht="15" customHeight="1" x14ac:dyDescent="0.25">
      <c r="A13" s="432"/>
      <c r="B13" s="93"/>
      <c r="C13" s="766" t="s">
        <v>154</v>
      </c>
      <c r="D13" s="767"/>
      <c r="E13" s="767"/>
      <c r="F13" s="767"/>
      <c r="G13" s="767"/>
      <c r="H13" s="767"/>
      <c r="I13" s="767"/>
      <c r="J13" s="466" t="s">
        <v>214</v>
      </c>
      <c r="K13" s="467" t="s">
        <v>215</v>
      </c>
      <c r="L13" s="468" t="s">
        <v>11</v>
      </c>
      <c r="O13" s="432"/>
      <c r="P13" s="432"/>
      <c r="Q13" s="432"/>
      <c r="R13" s="432"/>
      <c r="S13" s="432"/>
      <c r="T13" s="432"/>
      <c r="U13" s="432"/>
      <c r="V13" s="432"/>
      <c r="W13" s="432"/>
      <c r="X13" s="432"/>
      <c r="Y13" s="432"/>
      <c r="Z13" s="432"/>
      <c r="AA13" s="432"/>
      <c r="AB13" s="432"/>
      <c r="AC13" s="432"/>
    </row>
    <row r="14" spans="1:29" ht="30" customHeight="1" x14ac:dyDescent="0.25">
      <c r="A14" s="432"/>
      <c r="B14" s="93"/>
      <c r="C14" s="751"/>
      <c r="D14" s="752"/>
      <c r="E14" s="752"/>
      <c r="F14" s="752"/>
      <c r="G14" s="752"/>
      <c r="H14" s="752"/>
      <c r="I14" s="753"/>
      <c r="J14" s="252"/>
      <c r="K14" s="205"/>
      <c r="L14" s="207">
        <f>J14*K14</f>
        <v>0</v>
      </c>
      <c r="M14" s="9">
        <f>IF(menu!$U$9=FALSE,0,IF(AND(menu!$U$9=TRUE,L14=0),0,IF(AND(L14&gt;0,OR(C14="",LEFT(C14,3)="Bsp")),1,IF(K14&lt;=800,0,1))))</f>
        <v>0</v>
      </c>
      <c r="O14" s="432"/>
      <c r="P14" s="432"/>
      <c r="Q14" s="432"/>
      <c r="R14" s="432"/>
      <c r="S14" s="432"/>
      <c r="T14" s="432"/>
      <c r="U14" s="432"/>
      <c r="V14" s="432"/>
      <c r="W14" s="432"/>
      <c r="X14" s="432"/>
      <c r="Y14" s="432"/>
      <c r="Z14" s="432"/>
      <c r="AA14" s="432"/>
      <c r="AB14" s="432"/>
      <c r="AC14" s="432"/>
    </row>
    <row r="15" spans="1:29" ht="30" customHeight="1" x14ac:dyDescent="0.25">
      <c r="A15" s="432"/>
      <c r="B15" s="93"/>
      <c r="C15" s="751"/>
      <c r="D15" s="752"/>
      <c r="E15" s="752"/>
      <c r="F15" s="752"/>
      <c r="G15" s="752"/>
      <c r="H15" s="752"/>
      <c r="I15" s="753"/>
      <c r="J15" s="252"/>
      <c r="K15" s="205"/>
      <c r="L15" s="207">
        <f t="shared" ref="L15:L19" si="0">J15*K15</f>
        <v>0</v>
      </c>
      <c r="M15" s="9">
        <f>IF(menu!$U$9=FALSE,0,IF(AND(menu!$U$9=TRUE,L15=0),0,IF(AND(L15&gt;0,OR(C15="",LEFT(C15,3)="Bsp")),1,IF(K15&lt;=800,0,1))))</f>
        <v>0</v>
      </c>
      <c r="O15" s="432"/>
      <c r="P15" s="432"/>
      <c r="Q15" s="432"/>
      <c r="R15" s="432"/>
      <c r="S15" s="432"/>
      <c r="T15" s="432"/>
      <c r="U15" s="432"/>
      <c r="V15" s="432"/>
      <c r="W15" s="432"/>
      <c r="X15" s="432"/>
      <c r="Y15" s="432"/>
      <c r="Z15" s="432"/>
      <c r="AA15" s="432"/>
      <c r="AB15" s="432"/>
      <c r="AC15" s="432"/>
    </row>
    <row r="16" spans="1:29" ht="30" customHeight="1" x14ac:dyDescent="0.25">
      <c r="A16" s="432"/>
      <c r="B16" s="93"/>
      <c r="C16" s="751"/>
      <c r="D16" s="752"/>
      <c r="E16" s="752"/>
      <c r="F16" s="752"/>
      <c r="G16" s="752"/>
      <c r="H16" s="752"/>
      <c r="I16" s="753"/>
      <c r="J16" s="252"/>
      <c r="K16" s="205"/>
      <c r="L16" s="207">
        <f t="shared" si="0"/>
        <v>0</v>
      </c>
      <c r="M16" s="9">
        <f>IF(menu!$U$9=FALSE,0,IF(AND(menu!$U$9=TRUE,L16=0),0,IF(AND(L16&gt;0,OR(C16="",LEFT(C16,3)="Bsp")),1,IF(K16&lt;=800,0,1))))</f>
        <v>0</v>
      </c>
      <c r="O16" s="432"/>
      <c r="P16" s="432"/>
      <c r="Q16" s="432"/>
      <c r="R16" s="432"/>
      <c r="S16" s="432"/>
      <c r="T16" s="432"/>
      <c r="U16" s="432"/>
      <c r="V16" s="432"/>
      <c r="W16" s="432"/>
      <c r="X16" s="432"/>
      <c r="Y16" s="432"/>
      <c r="Z16" s="432"/>
      <c r="AA16" s="432"/>
      <c r="AB16" s="432"/>
      <c r="AC16" s="432"/>
    </row>
    <row r="17" spans="1:29" ht="30" customHeight="1" x14ac:dyDescent="0.25">
      <c r="A17" s="432"/>
      <c r="B17" s="93"/>
      <c r="C17" s="751"/>
      <c r="D17" s="752"/>
      <c r="E17" s="752"/>
      <c r="F17" s="752"/>
      <c r="G17" s="752"/>
      <c r="H17" s="752"/>
      <c r="I17" s="753"/>
      <c r="J17" s="252"/>
      <c r="K17" s="205"/>
      <c r="L17" s="207">
        <f t="shared" si="0"/>
        <v>0</v>
      </c>
      <c r="M17" s="9">
        <f>IF(menu!$U$9=FALSE,0,IF(AND(menu!$U$9=TRUE,L17=0),0,IF(AND(L17&gt;0,OR(C17="",LEFT(C17,3)="Bsp")),1,IF(K17&lt;=800,0,1))))</f>
        <v>0</v>
      </c>
      <c r="O17" s="432"/>
      <c r="P17" s="432"/>
      <c r="Q17" s="432"/>
      <c r="R17" s="432"/>
      <c r="S17" s="432"/>
      <c r="T17" s="432"/>
      <c r="U17" s="432"/>
      <c r="V17" s="432"/>
      <c r="W17" s="432"/>
      <c r="X17" s="432"/>
      <c r="Y17" s="432"/>
      <c r="Z17" s="432"/>
      <c r="AA17" s="432"/>
      <c r="AB17" s="432"/>
      <c r="AC17" s="432"/>
    </row>
    <row r="18" spans="1:29" ht="30" customHeight="1" x14ac:dyDescent="0.25">
      <c r="A18" s="432"/>
      <c r="B18" s="93"/>
      <c r="C18" s="751"/>
      <c r="D18" s="752"/>
      <c r="E18" s="752"/>
      <c r="F18" s="752"/>
      <c r="G18" s="752"/>
      <c r="H18" s="752"/>
      <c r="I18" s="753"/>
      <c r="J18" s="252"/>
      <c r="K18" s="205"/>
      <c r="L18" s="207">
        <f t="shared" si="0"/>
        <v>0</v>
      </c>
      <c r="M18" s="9">
        <f>IF(menu!$U$9=FALSE,0,IF(AND(menu!$U$9=TRUE,L18=0),0,IF(AND(L18&gt;0,OR(C18="",LEFT(C18,3)="Bsp")),1,IF(K18&lt;=800,0,1))))</f>
        <v>0</v>
      </c>
      <c r="O18" s="432"/>
      <c r="P18" s="432"/>
      <c r="Q18" s="432"/>
      <c r="R18" s="432"/>
      <c r="S18" s="432"/>
      <c r="T18" s="432"/>
      <c r="U18" s="432"/>
      <c r="V18" s="432"/>
      <c r="W18" s="432"/>
      <c r="X18" s="432"/>
      <c r="Y18" s="432"/>
      <c r="Z18" s="432"/>
      <c r="AA18" s="432"/>
      <c r="AB18" s="432"/>
      <c r="AC18" s="432"/>
    </row>
    <row r="19" spans="1:29" ht="30" customHeight="1" thickBot="1" x14ac:dyDescent="0.3">
      <c r="A19" s="432"/>
      <c r="B19" s="93"/>
      <c r="C19" s="768"/>
      <c r="D19" s="769"/>
      <c r="E19" s="769"/>
      <c r="F19" s="769"/>
      <c r="G19" s="769"/>
      <c r="H19" s="769"/>
      <c r="I19" s="770"/>
      <c r="J19" s="252"/>
      <c r="K19" s="205"/>
      <c r="L19" s="207">
        <f t="shared" si="0"/>
        <v>0</v>
      </c>
      <c r="M19" s="9">
        <f>IF(menu!$U$9=FALSE,0,IF(AND(menu!$U$9=TRUE,L19=0),0,IF(AND(L19&gt;0,OR(C19="",LEFT(C19,3)="Bsp")),1,IF(K19&lt;=800,0,1))))</f>
        <v>0</v>
      </c>
      <c r="O19" s="432"/>
      <c r="P19" s="432"/>
      <c r="Q19" s="432"/>
      <c r="R19" s="432"/>
      <c r="S19" s="432"/>
      <c r="T19" s="432"/>
      <c r="U19" s="432"/>
      <c r="V19" s="432"/>
      <c r="W19" s="432"/>
      <c r="X19" s="432"/>
      <c r="Y19" s="432"/>
      <c r="Z19" s="432"/>
      <c r="AA19" s="432"/>
      <c r="AB19" s="432"/>
      <c r="AC19" s="432"/>
    </row>
    <row r="20" spans="1:29" ht="12" thickBot="1" x14ac:dyDescent="0.3">
      <c r="A20" s="432"/>
      <c r="C20" s="111"/>
      <c r="D20" s="111"/>
      <c r="E20" s="112"/>
      <c r="F20" s="112"/>
      <c r="G20" s="112"/>
      <c r="H20" s="112"/>
      <c r="I20" s="112"/>
      <c r="J20" s="113"/>
      <c r="K20" s="114" t="s">
        <v>17</v>
      </c>
      <c r="L20" s="115">
        <f>SUM(L14:L19)</f>
        <v>0</v>
      </c>
      <c r="O20" s="432"/>
      <c r="P20" s="432"/>
      <c r="Q20" s="432"/>
      <c r="R20" s="432"/>
      <c r="S20" s="432"/>
      <c r="T20" s="432"/>
      <c r="U20" s="432"/>
      <c r="V20" s="432"/>
      <c r="W20" s="432"/>
      <c r="X20" s="432"/>
      <c r="Y20" s="432"/>
      <c r="Z20" s="432"/>
      <c r="AA20" s="432"/>
      <c r="AB20" s="432"/>
      <c r="AC20" s="432"/>
    </row>
    <row r="21" spans="1:29" ht="6" customHeight="1" x14ac:dyDescent="0.25">
      <c r="A21" s="432"/>
      <c r="O21" s="432"/>
      <c r="P21" s="432"/>
      <c r="Q21" s="432"/>
      <c r="R21" s="432"/>
      <c r="S21" s="432"/>
      <c r="T21" s="432"/>
      <c r="U21" s="432"/>
      <c r="V21" s="432"/>
      <c r="W21" s="432"/>
      <c r="X21" s="432"/>
      <c r="Y21" s="432"/>
      <c r="Z21" s="432"/>
      <c r="AA21" s="432"/>
      <c r="AB21" s="432"/>
      <c r="AC21" s="432"/>
    </row>
    <row r="22" spans="1:29" ht="16.5" customHeight="1" x14ac:dyDescent="0.25">
      <c r="A22" s="432"/>
      <c r="C22" s="761" t="s">
        <v>548</v>
      </c>
      <c r="D22" s="762"/>
      <c r="E22" s="762"/>
      <c r="F22" s="762"/>
      <c r="G22" s="762"/>
      <c r="H22" s="762"/>
      <c r="I22" s="762"/>
      <c r="J22" s="762"/>
      <c r="K22" s="762"/>
      <c r="L22" s="763"/>
      <c r="O22" s="432"/>
      <c r="P22" s="432"/>
      <c r="Q22" s="432"/>
      <c r="R22" s="432"/>
      <c r="S22" s="432"/>
      <c r="T22" s="432"/>
      <c r="U22" s="432"/>
      <c r="V22" s="432"/>
      <c r="W22" s="432"/>
      <c r="X22" s="432"/>
      <c r="Y22" s="432"/>
      <c r="Z22" s="432"/>
      <c r="AA22" s="432"/>
      <c r="AB22" s="432"/>
      <c r="AC22" s="432"/>
    </row>
    <row r="23" spans="1:29" ht="15" customHeight="1" thickBot="1" x14ac:dyDescent="0.3">
      <c r="A23" s="432"/>
      <c r="C23" s="765" t="s">
        <v>186</v>
      </c>
      <c r="D23" s="765"/>
      <c r="E23" s="765"/>
      <c r="F23" s="765"/>
      <c r="G23" s="765"/>
      <c r="H23" s="765"/>
      <c r="I23" s="765"/>
      <c r="J23" s="765"/>
      <c r="K23" s="765"/>
      <c r="L23" s="765"/>
      <c r="O23" s="432"/>
      <c r="P23" s="432"/>
      <c r="Q23" s="432"/>
      <c r="R23" s="432"/>
      <c r="S23" s="432"/>
      <c r="T23" s="432"/>
      <c r="U23" s="432"/>
      <c r="V23" s="432"/>
      <c r="W23" s="432"/>
      <c r="X23" s="432"/>
      <c r="Y23" s="432"/>
      <c r="Z23" s="432"/>
      <c r="AA23" s="432"/>
      <c r="AB23" s="432"/>
      <c r="AC23" s="432"/>
    </row>
    <row r="24" spans="1:29" ht="15" customHeight="1" x14ac:dyDescent="0.25">
      <c r="A24" s="432"/>
      <c r="B24" s="93"/>
      <c r="C24" s="771" t="s">
        <v>154</v>
      </c>
      <c r="D24" s="772"/>
      <c r="E24" s="772"/>
      <c r="F24" s="772"/>
      <c r="G24" s="772"/>
      <c r="H24" s="772"/>
      <c r="I24" s="773"/>
      <c r="J24" s="467" t="s">
        <v>214</v>
      </c>
      <c r="K24" s="469" t="s">
        <v>76</v>
      </c>
      <c r="L24" s="470" t="s">
        <v>11</v>
      </c>
      <c r="O24" s="432"/>
      <c r="P24" s="432"/>
      <c r="Q24" s="432"/>
      <c r="R24" s="432"/>
      <c r="S24" s="432"/>
      <c r="T24" s="432"/>
      <c r="U24" s="432"/>
      <c r="V24" s="432"/>
      <c r="W24" s="432"/>
      <c r="X24" s="432"/>
      <c r="Y24" s="432"/>
      <c r="Z24" s="432"/>
      <c r="AA24" s="432"/>
      <c r="AB24" s="432"/>
      <c r="AC24" s="432"/>
    </row>
    <row r="25" spans="1:29" ht="30" customHeight="1" x14ac:dyDescent="0.25">
      <c r="A25" s="432"/>
      <c r="B25" s="93"/>
      <c r="C25" s="751"/>
      <c r="D25" s="752"/>
      <c r="E25" s="752"/>
      <c r="F25" s="752"/>
      <c r="G25" s="752"/>
      <c r="H25" s="752"/>
      <c r="I25" s="753"/>
      <c r="J25" s="252"/>
      <c r="K25" s="205"/>
      <c r="L25" s="207">
        <f>J25*K25</f>
        <v>0</v>
      </c>
      <c r="M25" s="9">
        <f>IF(menu!$U$9=FALSE,0,IF(AND(menu!$U$9=TRUE,L25=0),0,IF(AND(L25&gt;0,OR(C25="",LEFT(C25,3)="Bsp")),1,0)))</f>
        <v>0</v>
      </c>
      <c r="O25" s="432"/>
      <c r="P25" s="432"/>
      <c r="Q25" s="432"/>
      <c r="R25" s="432"/>
      <c r="S25" s="432"/>
      <c r="T25" s="432"/>
      <c r="U25" s="432"/>
      <c r="V25" s="432"/>
      <c r="W25" s="432"/>
      <c r="X25" s="432"/>
      <c r="Y25" s="432"/>
      <c r="Z25" s="432"/>
      <c r="AA25" s="432"/>
      <c r="AB25" s="432"/>
      <c r="AC25" s="432"/>
    </row>
    <row r="26" spans="1:29" ht="30" customHeight="1" x14ac:dyDescent="0.25">
      <c r="A26" s="432"/>
      <c r="B26" s="93"/>
      <c r="C26" s="751"/>
      <c r="D26" s="752"/>
      <c r="E26" s="752"/>
      <c r="F26" s="752"/>
      <c r="G26" s="752"/>
      <c r="H26" s="752"/>
      <c r="I26" s="753"/>
      <c r="J26" s="252"/>
      <c r="K26" s="503"/>
      <c r="L26" s="207">
        <f t="shared" ref="L26:L34" si="1">J26*K26</f>
        <v>0</v>
      </c>
      <c r="M26" s="9">
        <f>IF(menu!$U$9=FALSE,0,IF(AND(menu!$U$9=TRUE,L26=0),0,IF(AND(L26&gt;0,OR(C26="",LEFT(C26,3)="Bsp")),1,0)))</f>
        <v>0</v>
      </c>
      <c r="O26" s="432"/>
      <c r="P26" s="432"/>
      <c r="Q26" s="432"/>
      <c r="R26" s="432"/>
      <c r="S26" s="432"/>
      <c r="T26" s="432"/>
      <c r="U26" s="432"/>
      <c r="V26" s="432"/>
      <c r="W26" s="432"/>
      <c r="X26" s="432"/>
      <c r="Y26" s="432"/>
      <c r="Z26" s="432"/>
      <c r="AA26" s="432"/>
      <c r="AB26" s="432"/>
      <c r="AC26" s="432"/>
    </row>
    <row r="27" spans="1:29" ht="30" customHeight="1" x14ac:dyDescent="0.25">
      <c r="A27" s="432"/>
      <c r="B27" s="93"/>
      <c r="C27" s="751"/>
      <c r="D27" s="752"/>
      <c r="E27" s="752"/>
      <c r="F27" s="752"/>
      <c r="G27" s="752"/>
      <c r="H27" s="752"/>
      <c r="I27" s="753"/>
      <c r="J27" s="252"/>
      <c r="K27" s="205"/>
      <c r="L27" s="207">
        <f t="shared" si="1"/>
        <v>0</v>
      </c>
      <c r="M27" s="9">
        <f>IF(menu!$U$9=FALSE,0,IF(AND(menu!$U$9=TRUE,L27=0),0,IF(AND(L27&gt;0,OR(C27="",LEFT(C27,3)="Bsp")),1,0)))</f>
        <v>0</v>
      </c>
      <c r="O27" s="432"/>
      <c r="P27" s="432"/>
      <c r="Q27" s="432"/>
      <c r="R27" s="432"/>
      <c r="S27" s="432"/>
      <c r="T27" s="432"/>
      <c r="U27" s="432"/>
      <c r="V27" s="432"/>
      <c r="W27" s="432"/>
      <c r="X27" s="432"/>
      <c r="Y27" s="432"/>
      <c r="Z27" s="432"/>
      <c r="AA27" s="432"/>
      <c r="AB27" s="432"/>
      <c r="AC27" s="432"/>
    </row>
    <row r="28" spans="1:29" ht="30" customHeight="1" x14ac:dyDescent="0.25">
      <c r="A28" s="432"/>
      <c r="B28" s="93"/>
      <c r="C28" s="751"/>
      <c r="D28" s="752"/>
      <c r="E28" s="752"/>
      <c r="F28" s="752"/>
      <c r="G28" s="752"/>
      <c r="H28" s="752"/>
      <c r="I28" s="753"/>
      <c r="J28" s="252"/>
      <c r="K28" s="205"/>
      <c r="L28" s="207">
        <f t="shared" si="1"/>
        <v>0</v>
      </c>
      <c r="M28" s="9">
        <f>IF(menu!$U$9=FALSE,0,IF(AND(menu!$U$9=TRUE,L28=0),0,IF(AND(L28&gt;0,OR(C28="",LEFT(C28,3)="Bsp")),1,0)))</f>
        <v>0</v>
      </c>
      <c r="O28" s="432"/>
      <c r="P28" s="432"/>
      <c r="Q28" s="432"/>
      <c r="R28" s="432"/>
      <c r="S28" s="432"/>
      <c r="T28" s="432"/>
      <c r="U28" s="432"/>
      <c r="V28" s="432"/>
      <c r="W28" s="432"/>
      <c r="X28" s="432"/>
      <c r="Y28" s="432"/>
      <c r="Z28" s="432"/>
      <c r="AA28" s="432"/>
      <c r="AB28" s="432"/>
      <c r="AC28" s="432"/>
    </row>
    <row r="29" spans="1:29" ht="30" customHeight="1" x14ac:dyDescent="0.25">
      <c r="A29" s="432"/>
      <c r="B29" s="93"/>
      <c r="C29" s="751"/>
      <c r="D29" s="752"/>
      <c r="E29" s="752"/>
      <c r="F29" s="752"/>
      <c r="G29" s="752"/>
      <c r="H29" s="752"/>
      <c r="I29" s="753"/>
      <c r="J29" s="252"/>
      <c r="K29" s="205"/>
      <c r="L29" s="207">
        <f t="shared" si="1"/>
        <v>0</v>
      </c>
      <c r="M29" s="9">
        <f>IF(menu!$U$9=FALSE,0,IF(AND(menu!$U$9=TRUE,L29=0),0,IF(AND(L29&gt;0,OR(C29="",LEFT(C29,3)="Bsp")),1,0)))</f>
        <v>0</v>
      </c>
      <c r="O29" s="432"/>
      <c r="P29" s="432"/>
      <c r="Q29" s="432"/>
      <c r="R29" s="432"/>
      <c r="S29" s="432"/>
      <c r="T29" s="432"/>
      <c r="U29" s="432"/>
      <c r="V29" s="432"/>
      <c r="W29" s="432"/>
      <c r="X29" s="432"/>
      <c r="Y29" s="432"/>
      <c r="Z29" s="432"/>
      <c r="AA29" s="432"/>
      <c r="AB29" s="432"/>
      <c r="AC29" s="432"/>
    </row>
    <row r="30" spans="1:29" ht="30" customHeight="1" x14ac:dyDescent="0.25">
      <c r="A30" s="432"/>
      <c r="B30" s="93"/>
      <c r="C30" s="751"/>
      <c r="D30" s="752"/>
      <c r="E30" s="752"/>
      <c r="F30" s="752"/>
      <c r="G30" s="752"/>
      <c r="H30" s="752"/>
      <c r="I30" s="753"/>
      <c r="J30" s="252"/>
      <c r="K30" s="205"/>
      <c r="L30" s="207">
        <f>J30*K30</f>
        <v>0</v>
      </c>
      <c r="M30" s="9">
        <f>IF(menu!$U$9=FALSE,0,IF(AND(menu!$U$9=TRUE,L30=0),0,IF(AND(L30&gt;0,OR(C30="",LEFT(C30,3)="Bsp")),1,0)))</f>
        <v>0</v>
      </c>
      <c r="O30" s="432"/>
      <c r="P30" s="432"/>
      <c r="Q30" s="432"/>
      <c r="R30" s="432"/>
      <c r="S30" s="432"/>
      <c r="T30" s="432"/>
      <c r="U30" s="432"/>
      <c r="V30" s="432"/>
      <c r="W30" s="432"/>
      <c r="X30" s="432"/>
      <c r="Y30" s="432"/>
      <c r="Z30" s="432"/>
      <c r="AA30" s="432"/>
      <c r="AB30" s="432"/>
      <c r="AC30" s="432"/>
    </row>
    <row r="31" spans="1:29" ht="30" customHeight="1" x14ac:dyDescent="0.25">
      <c r="A31" s="432"/>
      <c r="B31" s="93"/>
      <c r="C31" s="751"/>
      <c r="D31" s="752"/>
      <c r="E31" s="752"/>
      <c r="F31" s="752"/>
      <c r="G31" s="752"/>
      <c r="H31" s="752"/>
      <c r="I31" s="753"/>
      <c r="J31" s="252"/>
      <c r="K31" s="205"/>
      <c r="L31" s="207">
        <f t="shared" ref="L31:L33" si="2">J31*K31</f>
        <v>0</v>
      </c>
      <c r="M31" s="9">
        <f>IF(menu!$U$9=FALSE,0,IF(AND(menu!$U$9=TRUE,L31=0),0,IF(AND(L31&gt;0,OR(C31="",LEFT(C31,3)="Bsp")),1,0)))</f>
        <v>0</v>
      </c>
      <c r="O31" s="432"/>
      <c r="P31" s="432"/>
      <c r="Q31" s="432"/>
      <c r="R31" s="432"/>
      <c r="S31" s="432"/>
      <c r="T31" s="432"/>
      <c r="U31" s="432"/>
      <c r="V31" s="432"/>
      <c r="W31" s="432"/>
      <c r="X31" s="432"/>
      <c r="Y31" s="432"/>
      <c r="Z31" s="432"/>
      <c r="AA31" s="432"/>
      <c r="AB31" s="432"/>
      <c r="AC31" s="432"/>
    </row>
    <row r="32" spans="1:29" ht="30" customHeight="1" x14ac:dyDescent="0.25">
      <c r="A32" s="432"/>
      <c r="B32" s="93"/>
      <c r="C32" s="751"/>
      <c r="D32" s="752"/>
      <c r="E32" s="752"/>
      <c r="F32" s="752"/>
      <c r="G32" s="752"/>
      <c r="H32" s="752"/>
      <c r="I32" s="753"/>
      <c r="J32" s="252"/>
      <c r="K32" s="205"/>
      <c r="L32" s="207">
        <f t="shared" si="2"/>
        <v>0</v>
      </c>
      <c r="M32" s="9">
        <f>IF(menu!$U$9=FALSE,0,IF(AND(menu!$U$9=TRUE,L32=0),0,IF(AND(L32&gt;0,OR(C32="",LEFT(C32,3)="Bsp")),1,0)))</f>
        <v>0</v>
      </c>
      <c r="O32" s="432"/>
      <c r="P32" s="432"/>
      <c r="Q32" s="432"/>
      <c r="R32" s="432"/>
      <c r="S32" s="432"/>
      <c r="T32" s="432"/>
      <c r="U32" s="432"/>
      <c r="V32" s="432"/>
      <c r="W32" s="432"/>
      <c r="X32" s="432"/>
      <c r="Y32" s="432"/>
      <c r="Z32" s="432"/>
      <c r="AA32" s="432"/>
      <c r="AB32" s="432"/>
      <c r="AC32" s="432"/>
    </row>
    <row r="33" spans="1:29" ht="30" customHeight="1" x14ac:dyDescent="0.25">
      <c r="A33" s="432"/>
      <c r="B33" s="93"/>
      <c r="C33" s="751"/>
      <c r="D33" s="752"/>
      <c r="E33" s="752"/>
      <c r="F33" s="752"/>
      <c r="G33" s="752"/>
      <c r="H33" s="752"/>
      <c r="I33" s="753"/>
      <c r="J33" s="252"/>
      <c r="K33" s="205"/>
      <c r="L33" s="207">
        <f t="shared" si="2"/>
        <v>0</v>
      </c>
      <c r="M33" s="9">
        <f>IF(menu!$U$9=FALSE,0,IF(AND(menu!$U$9=TRUE,L33=0),0,IF(AND(L33&gt;0,OR(C33="",LEFT(C33,3)="Bsp")),1,0)))</f>
        <v>0</v>
      </c>
      <c r="O33" s="432"/>
      <c r="P33" s="432"/>
      <c r="Q33" s="432"/>
      <c r="R33" s="432"/>
      <c r="S33" s="432"/>
      <c r="T33" s="432"/>
      <c r="U33" s="432"/>
      <c r="V33" s="432"/>
      <c r="W33" s="432"/>
      <c r="X33" s="432"/>
      <c r="Y33" s="432"/>
      <c r="Z33" s="432"/>
      <c r="AA33" s="432"/>
      <c r="AB33" s="432"/>
      <c r="AC33" s="432"/>
    </row>
    <row r="34" spans="1:29" ht="30" customHeight="1" thickBot="1" x14ac:dyDescent="0.3">
      <c r="A34" s="432"/>
      <c r="B34" s="93"/>
      <c r="C34" s="751"/>
      <c r="D34" s="752"/>
      <c r="E34" s="752"/>
      <c r="F34" s="752"/>
      <c r="G34" s="752"/>
      <c r="H34" s="752"/>
      <c r="I34" s="753"/>
      <c r="J34" s="252"/>
      <c r="K34" s="205"/>
      <c r="L34" s="207">
        <f t="shared" si="1"/>
        <v>0</v>
      </c>
      <c r="M34" s="9">
        <f>IF(menu!$U$9=FALSE,0,IF(AND(menu!$U$9=TRUE,L34=0),0,IF(AND(L34&gt;0,OR(C34="",LEFT(C34,3)="Bsp")),1,0)))</f>
        <v>0</v>
      </c>
      <c r="O34" s="432"/>
      <c r="P34" s="432"/>
      <c r="Q34" s="432"/>
      <c r="R34" s="432"/>
      <c r="S34" s="432"/>
      <c r="T34" s="432"/>
      <c r="U34" s="432"/>
      <c r="V34" s="432"/>
      <c r="W34" s="432"/>
      <c r="X34" s="432"/>
      <c r="Y34" s="432"/>
      <c r="Z34" s="432"/>
      <c r="AA34" s="432"/>
      <c r="AB34" s="432"/>
      <c r="AC34" s="432"/>
    </row>
    <row r="35" spans="1:29" ht="12" thickBot="1" x14ac:dyDescent="0.3">
      <c r="A35" s="432"/>
      <c r="C35" s="116"/>
      <c r="D35" s="116"/>
      <c r="E35" s="112"/>
      <c r="F35" s="112"/>
      <c r="G35" s="112"/>
      <c r="H35" s="112"/>
      <c r="I35" s="112"/>
      <c r="J35" s="113"/>
      <c r="K35" s="114" t="s">
        <v>17</v>
      </c>
      <c r="L35" s="117">
        <f>SUM(L25:L34)</f>
        <v>0</v>
      </c>
      <c r="O35" s="432"/>
      <c r="P35" s="432"/>
      <c r="Q35" s="432"/>
      <c r="R35" s="432"/>
      <c r="S35" s="432"/>
      <c r="T35" s="432"/>
      <c r="U35" s="432"/>
      <c r="V35" s="432"/>
      <c r="W35" s="432"/>
      <c r="X35" s="432"/>
      <c r="Y35" s="432"/>
      <c r="Z35" s="432"/>
      <c r="AA35" s="432"/>
      <c r="AB35" s="432"/>
      <c r="AC35" s="432"/>
    </row>
    <row r="36" spans="1:29" ht="15" customHeight="1" thickBot="1" x14ac:dyDescent="0.3">
      <c r="A36" s="432"/>
      <c r="C36" s="764" t="s">
        <v>581</v>
      </c>
      <c r="D36" s="764"/>
      <c r="E36" s="757"/>
      <c r="F36" s="757"/>
      <c r="G36" s="757"/>
      <c r="H36" s="757"/>
      <c r="I36" s="757"/>
      <c r="J36" s="757"/>
      <c r="K36" s="757"/>
      <c r="L36" s="757"/>
      <c r="O36" s="432"/>
      <c r="P36" s="432"/>
      <c r="Q36" s="432"/>
      <c r="R36" s="432"/>
      <c r="S36" s="432"/>
      <c r="T36" s="432"/>
      <c r="U36" s="432"/>
      <c r="V36" s="432"/>
      <c r="W36" s="432"/>
      <c r="X36" s="432"/>
      <c r="Y36" s="432"/>
      <c r="Z36" s="432"/>
      <c r="AA36" s="432"/>
      <c r="AB36" s="432"/>
      <c r="AC36" s="432"/>
    </row>
    <row r="37" spans="1:29" ht="15" customHeight="1" x14ac:dyDescent="0.25">
      <c r="A37" s="432"/>
      <c r="B37" s="93"/>
      <c r="C37" s="766" t="s">
        <v>154</v>
      </c>
      <c r="D37" s="767"/>
      <c r="E37" s="767"/>
      <c r="F37" s="767"/>
      <c r="G37" s="767"/>
      <c r="H37" s="767"/>
      <c r="I37" s="767"/>
      <c r="J37" s="467" t="s">
        <v>214</v>
      </c>
      <c r="K37" s="467" t="s">
        <v>215</v>
      </c>
      <c r="L37" s="468" t="s">
        <v>11</v>
      </c>
      <c r="O37" s="432"/>
      <c r="P37" s="432"/>
      <c r="Q37" s="432"/>
      <c r="R37" s="432"/>
      <c r="S37" s="432"/>
      <c r="T37" s="432"/>
      <c r="U37" s="432"/>
      <c r="V37" s="432"/>
      <c r="W37" s="432"/>
      <c r="X37" s="432"/>
      <c r="Y37" s="432"/>
      <c r="Z37" s="432"/>
      <c r="AA37" s="432"/>
      <c r="AB37" s="432"/>
      <c r="AC37" s="432"/>
    </row>
    <row r="38" spans="1:29" ht="26.15" customHeight="1" x14ac:dyDescent="0.25">
      <c r="A38" s="432"/>
      <c r="B38" s="93"/>
      <c r="C38" s="751"/>
      <c r="D38" s="752"/>
      <c r="E38" s="752"/>
      <c r="F38" s="752"/>
      <c r="G38" s="752"/>
      <c r="H38" s="752"/>
      <c r="I38" s="752"/>
      <c r="J38" s="252"/>
      <c r="K38" s="205"/>
      <c r="L38" s="207">
        <f>J38*K38</f>
        <v>0</v>
      </c>
      <c r="M38" s="9">
        <f>IF(menu!$U$9=FALSE,0,IF(AND(menu!$U$9=TRUE,L38=0),0,IF(AND(L38&gt;0,OR(C38="",LEFT(C38,3)="Bsp")),1,IF(K38&gt;=800,0,1))))</f>
        <v>0</v>
      </c>
      <c r="O38" s="432"/>
      <c r="P38" s="432"/>
      <c r="Q38" s="432"/>
      <c r="R38" s="432"/>
      <c r="S38" s="432"/>
      <c r="T38" s="432"/>
      <c r="U38" s="432"/>
      <c r="V38" s="432"/>
      <c r="W38" s="432"/>
      <c r="X38" s="432"/>
      <c r="Y38" s="432"/>
      <c r="Z38" s="432"/>
      <c r="AA38" s="432"/>
      <c r="AB38" s="432"/>
      <c r="AC38" s="432"/>
    </row>
    <row r="39" spans="1:29" ht="26.15" customHeight="1" thickBot="1" x14ac:dyDescent="0.3">
      <c r="A39" s="432"/>
      <c r="B39" s="93"/>
      <c r="C39" s="751"/>
      <c r="D39" s="752"/>
      <c r="E39" s="752"/>
      <c r="F39" s="752"/>
      <c r="G39" s="752"/>
      <c r="H39" s="752"/>
      <c r="I39" s="753"/>
      <c r="J39" s="252"/>
      <c r="K39" s="205"/>
      <c r="L39" s="207">
        <f t="shared" ref="L39" si="3">J39*K39</f>
        <v>0</v>
      </c>
      <c r="M39" s="9">
        <f>IF(menu!$U$9=FALSE,0,IF(AND(menu!$U$9=TRUE,L39=0),0,IF(AND(L39&gt;0,OR(C39="",LEFT(C39,3)="Bsp")),1,IF(K39&gt;=800,0,1))))</f>
        <v>0</v>
      </c>
      <c r="O39" s="432"/>
      <c r="P39" s="432"/>
      <c r="Q39" s="432"/>
      <c r="R39" s="432"/>
      <c r="S39" s="432"/>
      <c r="T39" s="432"/>
      <c r="U39" s="432"/>
      <c r="V39" s="432"/>
      <c r="W39" s="432"/>
      <c r="X39" s="432"/>
      <c r="Y39" s="432"/>
      <c r="Z39" s="432"/>
      <c r="AA39" s="432"/>
      <c r="AB39" s="432"/>
      <c r="AC39" s="432"/>
    </row>
    <row r="40" spans="1:29" ht="12" thickBot="1" x14ac:dyDescent="0.3">
      <c r="A40" s="432"/>
      <c r="C40" s="119"/>
      <c r="D40" s="119"/>
      <c r="E40" s="95"/>
      <c r="F40" s="95"/>
      <c r="G40" s="95"/>
      <c r="H40" s="95"/>
      <c r="I40" s="95"/>
      <c r="J40" s="96"/>
      <c r="K40" s="121" t="s">
        <v>17</v>
      </c>
      <c r="L40" s="117">
        <f>SUM(L38:L39)</f>
        <v>0</v>
      </c>
      <c r="O40" s="432"/>
      <c r="P40" s="432"/>
      <c r="Q40" s="432"/>
      <c r="R40" s="432"/>
      <c r="S40" s="432"/>
      <c r="T40" s="432"/>
      <c r="U40" s="432"/>
      <c r="V40" s="432"/>
      <c r="W40" s="432"/>
      <c r="X40" s="432"/>
      <c r="Y40" s="432"/>
      <c r="Z40" s="432"/>
      <c r="AA40" s="432"/>
      <c r="AB40" s="432"/>
      <c r="AC40" s="432"/>
    </row>
    <row r="41" spans="1:29" ht="6" customHeight="1" x14ac:dyDescent="0.25">
      <c r="A41" s="432"/>
      <c r="C41" s="180"/>
      <c r="D41" s="180"/>
      <c r="E41" s="500"/>
      <c r="F41" s="500"/>
      <c r="G41" s="500"/>
      <c r="H41" s="500"/>
      <c r="I41" s="500"/>
      <c r="J41" s="500"/>
      <c r="K41" s="182"/>
      <c r="L41" s="168"/>
      <c r="O41" s="432"/>
      <c r="P41" s="432"/>
      <c r="Q41" s="432"/>
      <c r="R41" s="432"/>
      <c r="S41" s="432"/>
      <c r="T41" s="432"/>
      <c r="U41" s="432"/>
      <c r="V41" s="432"/>
      <c r="W41" s="432"/>
      <c r="X41" s="432"/>
      <c r="Y41" s="432"/>
      <c r="Z41" s="432"/>
      <c r="AA41" s="432"/>
      <c r="AB41" s="432"/>
      <c r="AC41" s="432"/>
    </row>
    <row r="42" spans="1:29" ht="20.25" customHeight="1" x14ac:dyDescent="0.25">
      <c r="A42" s="432"/>
      <c r="C42" s="180"/>
      <c r="D42" s="180"/>
      <c r="E42" s="500"/>
      <c r="F42" s="500"/>
      <c r="G42" s="500"/>
      <c r="H42" s="777" t="s">
        <v>668</v>
      </c>
      <c r="I42" s="778"/>
      <c r="J42" s="778"/>
      <c r="K42" s="778"/>
      <c r="L42" s="502">
        <f>L20+L35+L40</f>
        <v>0</v>
      </c>
      <c r="M42" s="86">
        <f>IF(OR(L42&gt;=20000,Ausgabenkalkulation!$L$27&gt;20000),1,0)</f>
        <v>0</v>
      </c>
      <c r="O42" s="432"/>
      <c r="P42" s="432"/>
      <c r="Q42" s="432"/>
      <c r="R42" s="432"/>
      <c r="S42" s="432"/>
      <c r="T42" s="432"/>
      <c r="U42" s="432"/>
      <c r="V42" s="432"/>
      <c r="W42" s="432"/>
      <c r="X42" s="432"/>
      <c r="Y42" s="432"/>
      <c r="Z42" s="432"/>
      <c r="AA42" s="432"/>
      <c r="AB42" s="432"/>
      <c r="AC42" s="432"/>
    </row>
    <row r="43" spans="1:29" s="484" customFormat="1" ht="30" customHeight="1" x14ac:dyDescent="0.25">
      <c r="A43" s="483"/>
      <c r="C43" s="776" t="str">
        <f>IF(OR($L$42&gt;20000, Ausgabenkalkulation!$L$27&gt;20000), "Ausgaben zu hoch. Zuwendungsfähig sind Ausgaben im Umfang von maximal 20.000 € für die Organisation und Durchführung von Akteursbeteiligung, begleitende Öffentlichkeitsarbeit, Endredaktion sowie für den Druck des Konzeptes.", "")</f>
        <v/>
      </c>
      <c r="D43" s="776"/>
      <c r="E43" s="776"/>
      <c r="F43" s="776"/>
      <c r="G43" s="776"/>
      <c r="H43" s="776"/>
      <c r="I43" s="776"/>
      <c r="J43" s="776"/>
      <c r="K43" s="776"/>
      <c r="L43" s="776"/>
      <c r="O43" s="483"/>
      <c r="P43" s="483"/>
      <c r="Q43" s="483"/>
      <c r="R43" s="483"/>
      <c r="S43" s="483"/>
      <c r="T43" s="483"/>
      <c r="U43" s="483"/>
      <c r="V43" s="483"/>
      <c r="W43" s="483"/>
      <c r="X43" s="483"/>
      <c r="Y43" s="483"/>
      <c r="Z43" s="483"/>
      <c r="AA43" s="483"/>
      <c r="AB43" s="483"/>
      <c r="AC43" s="483"/>
    </row>
    <row r="44" spans="1:29" ht="15" customHeight="1" x14ac:dyDescent="0.25">
      <c r="A44" s="432"/>
      <c r="C44" s="761" t="s">
        <v>640</v>
      </c>
      <c r="D44" s="762"/>
      <c r="E44" s="762"/>
      <c r="F44" s="762"/>
      <c r="G44" s="762"/>
      <c r="H44" s="762"/>
      <c r="I44" s="762"/>
      <c r="J44" s="762"/>
      <c r="K44" s="762"/>
      <c r="L44" s="763"/>
      <c r="O44" s="432"/>
      <c r="P44" s="432"/>
      <c r="Q44" s="432"/>
      <c r="R44" s="432"/>
      <c r="S44" s="432"/>
      <c r="T44" s="432"/>
      <c r="U44" s="432"/>
      <c r="V44" s="432"/>
      <c r="W44" s="432"/>
      <c r="X44" s="432"/>
      <c r="Y44" s="432"/>
      <c r="Z44" s="432"/>
      <c r="AA44" s="432"/>
      <c r="AB44" s="432"/>
      <c r="AC44" s="432"/>
    </row>
    <row r="45" spans="1:29" ht="6" customHeight="1" thickBot="1" x14ac:dyDescent="0.3">
      <c r="A45" s="432"/>
      <c r="E45" s="106"/>
      <c r="F45" s="106"/>
      <c r="G45" s="106"/>
      <c r="H45" s="106"/>
      <c r="I45" s="106"/>
      <c r="J45" s="106"/>
      <c r="K45" s="122"/>
      <c r="L45" s="123"/>
      <c r="O45" s="432"/>
      <c r="P45" s="432"/>
      <c r="Q45" s="432"/>
      <c r="R45" s="432"/>
      <c r="S45" s="432"/>
      <c r="T45" s="432"/>
      <c r="U45" s="432"/>
      <c r="V45" s="432"/>
      <c r="W45" s="432"/>
      <c r="X45" s="432"/>
      <c r="Y45" s="432"/>
      <c r="Z45" s="432"/>
      <c r="AA45" s="432"/>
      <c r="AB45" s="432"/>
      <c r="AC45" s="432"/>
    </row>
    <row r="46" spans="1:29" ht="23.25" customHeight="1" thickBot="1" x14ac:dyDescent="0.3">
      <c r="A46" s="432"/>
      <c r="C46" s="465"/>
      <c r="D46" s="774" t="s">
        <v>641</v>
      </c>
      <c r="E46" s="774"/>
      <c r="F46" s="774"/>
      <c r="G46" s="774"/>
      <c r="H46" s="774"/>
      <c r="I46" s="774"/>
      <c r="J46" s="774"/>
      <c r="K46" s="774"/>
      <c r="L46" s="775"/>
      <c r="M46" s="160">
        <f>IF(AND(menu!$U$9=TRUE,(F6)&gt;0,menu!B51=FALSE),1,0)</f>
        <v>0</v>
      </c>
      <c r="N46" s="385"/>
      <c r="O46" s="432"/>
      <c r="P46" s="432"/>
      <c r="Q46" s="432"/>
      <c r="R46" s="432"/>
      <c r="S46" s="432"/>
      <c r="T46" s="432"/>
      <c r="U46" s="432"/>
      <c r="V46" s="432"/>
      <c r="W46" s="432"/>
      <c r="X46" s="432"/>
      <c r="Y46" s="432"/>
      <c r="Z46" s="432"/>
      <c r="AA46" s="432"/>
      <c r="AB46" s="432"/>
      <c r="AC46" s="432"/>
    </row>
    <row r="47" spans="1:29" ht="6.75" customHeight="1" x14ac:dyDescent="0.25">
      <c r="A47" s="432"/>
      <c r="C47" s="107"/>
      <c r="D47" s="107"/>
      <c r="E47" s="107"/>
      <c r="F47" s="107"/>
      <c r="G47" s="107"/>
      <c r="H47" s="107"/>
      <c r="I47" s="107"/>
      <c r="J47" s="107"/>
      <c r="K47" s="107"/>
      <c r="L47" s="123"/>
      <c r="O47" s="432"/>
      <c r="P47" s="432"/>
      <c r="Q47" s="432"/>
      <c r="R47" s="432"/>
      <c r="S47" s="432"/>
      <c r="T47" s="432"/>
      <c r="U47" s="432"/>
      <c r="V47" s="432"/>
      <c r="W47" s="432"/>
      <c r="X47" s="432"/>
      <c r="Y47" s="432"/>
      <c r="Z47" s="432"/>
      <c r="AA47" s="432"/>
      <c r="AB47" s="432"/>
      <c r="AC47" s="432"/>
    </row>
    <row r="48" spans="1:29" ht="12.75" customHeight="1" x14ac:dyDescent="0.25">
      <c r="A48" s="432"/>
      <c r="C48" s="722" t="s">
        <v>183</v>
      </c>
      <c r="D48" s="722"/>
      <c r="E48" s="722"/>
      <c r="F48" s="722"/>
      <c r="G48" s="722"/>
      <c r="H48" s="722"/>
      <c r="I48" s="722"/>
      <c r="J48" s="722"/>
      <c r="K48" s="722"/>
      <c r="L48" s="722"/>
      <c r="M48" s="722"/>
      <c r="O48" s="432"/>
      <c r="P48" s="432"/>
      <c r="Q48" s="432"/>
      <c r="R48" s="432"/>
      <c r="S48" s="432"/>
      <c r="T48" s="432"/>
      <c r="U48" s="432"/>
      <c r="V48" s="432"/>
      <c r="W48" s="432"/>
      <c r="X48" s="432"/>
      <c r="Y48" s="432"/>
      <c r="Z48" s="432"/>
      <c r="AA48" s="432"/>
      <c r="AB48" s="432"/>
      <c r="AC48" s="432"/>
    </row>
    <row r="49" spans="1:29" ht="21" customHeight="1" x14ac:dyDescent="0.25">
      <c r="A49" s="432"/>
      <c r="C49" s="718" t="str">
        <f>Basisdaten!C46</f>
        <v>Vorhabenbeschreibung 
4.1.10 a): Erstellung eines 
Fokuskonzeptes 2509_V3</v>
      </c>
      <c r="D49" s="718"/>
      <c r="E49" s="718"/>
      <c r="F49" s="718"/>
      <c r="G49" s="718"/>
      <c r="H49" s="718"/>
      <c r="I49" s="718"/>
      <c r="J49" s="718"/>
      <c r="K49" s="718"/>
      <c r="L49" s="718"/>
      <c r="O49" s="432"/>
      <c r="P49" s="432"/>
      <c r="Q49" s="432"/>
      <c r="R49" s="432"/>
      <c r="S49" s="432"/>
      <c r="T49" s="432"/>
      <c r="U49" s="432"/>
      <c r="V49" s="432"/>
      <c r="W49" s="432"/>
      <c r="X49" s="432"/>
      <c r="Y49" s="432"/>
      <c r="Z49" s="432"/>
      <c r="AA49" s="432"/>
      <c r="AB49" s="432"/>
      <c r="AC49" s="432"/>
    </row>
    <row r="50" spans="1:29" x14ac:dyDescent="0.25">
      <c r="A50" s="432"/>
      <c r="O50" s="432"/>
      <c r="P50" s="432"/>
      <c r="Q50" s="432"/>
      <c r="R50" s="432"/>
      <c r="S50" s="432"/>
      <c r="T50" s="432"/>
      <c r="U50" s="432"/>
      <c r="V50" s="432"/>
      <c r="W50" s="432"/>
      <c r="X50" s="432"/>
      <c r="Y50" s="432"/>
      <c r="Z50" s="432"/>
      <c r="AA50" s="432"/>
      <c r="AB50" s="432"/>
      <c r="AC50" s="432"/>
    </row>
    <row r="51" spans="1:29" x14ac:dyDescent="0.25">
      <c r="A51" s="432"/>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row>
    <row r="52" spans="1:29" x14ac:dyDescent="0.25">
      <c r="A52" s="432"/>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row>
    <row r="53" spans="1:29" x14ac:dyDescent="0.25">
      <c r="A53" s="432"/>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row>
    <row r="54" spans="1:29" x14ac:dyDescent="0.25">
      <c r="A54" s="432"/>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row>
    <row r="55" spans="1:29" x14ac:dyDescent="0.25">
      <c r="A55" s="432"/>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row>
    <row r="56" spans="1:29" x14ac:dyDescent="0.25">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row>
    <row r="57" spans="1:29" x14ac:dyDescent="0.25">
      <c r="A57" s="432"/>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row>
    <row r="58" spans="1:29" x14ac:dyDescent="0.25">
      <c r="A58" s="432"/>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row>
    <row r="59" spans="1:29" x14ac:dyDescent="0.25">
      <c r="A59" s="432"/>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row>
    <row r="60" spans="1:29" x14ac:dyDescent="0.25">
      <c r="A60" s="432"/>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row>
    <row r="61" spans="1:29" x14ac:dyDescent="0.25">
      <c r="A61" s="432"/>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row>
    <row r="62" spans="1:29" x14ac:dyDescent="0.25">
      <c r="A62" s="432"/>
      <c r="B62" s="432"/>
      <c r="C62" s="432"/>
      <c r="D62" s="432"/>
      <c r="E62" s="432"/>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row>
    <row r="63" spans="1:29" x14ac:dyDescent="0.25">
      <c r="A63" s="432"/>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row>
    <row r="64" spans="1:29" x14ac:dyDescent="0.25">
      <c r="A64" s="432"/>
      <c r="B64" s="432"/>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row>
    <row r="65" spans="1:29" x14ac:dyDescent="0.25">
      <c r="A65" s="432"/>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row>
    <row r="66" spans="1:29" x14ac:dyDescent="0.25">
      <c r="A66" s="432"/>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row>
    <row r="67" spans="1:29" x14ac:dyDescent="0.25">
      <c r="A67" s="432"/>
      <c r="B67" s="432"/>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row>
    <row r="68" spans="1:29" x14ac:dyDescent="0.25">
      <c r="A68" s="432"/>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row>
    <row r="69" spans="1:29" x14ac:dyDescent="0.25">
      <c r="A69" s="432"/>
      <c r="B69" s="432"/>
      <c r="C69" s="432"/>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row>
    <row r="70" spans="1:29" x14ac:dyDescent="0.25">
      <c r="A70" s="432"/>
      <c r="B70" s="432"/>
      <c r="C70" s="432"/>
      <c r="D70" s="432"/>
      <c r="E70" s="432"/>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row>
    <row r="71" spans="1:29" x14ac:dyDescent="0.25">
      <c r="A71" s="432"/>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row>
    <row r="72" spans="1:29" x14ac:dyDescent="0.25">
      <c r="A72" s="432"/>
      <c r="B72" s="432"/>
      <c r="C72" s="432"/>
      <c r="D72" s="432"/>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row>
    <row r="73" spans="1:29" x14ac:dyDescent="0.25">
      <c r="A73" s="432"/>
      <c r="B73" s="432"/>
      <c r="C73" s="432"/>
      <c r="D73" s="432"/>
      <c r="E73" s="432"/>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row>
    <row r="74" spans="1:29" x14ac:dyDescent="0.25">
      <c r="A74" s="432"/>
      <c r="B74" s="432"/>
      <c r="C74" s="432"/>
      <c r="D74" s="432"/>
      <c r="E74" s="432"/>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row>
    <row r="75" spans="1:29" x14ac:dyDescent="0.25">
      <c r="A75" s="432"/>
      <c r="B75" s="432"/>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row>
    <row r="76" spans="1:29" x14ac:dyDescent="0.25">
      <c r="A76" s="432"/>
      <c r="B76" s="432"/>
      <c r="C76" s="432"/>
      <c r="D76" s="432"/>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row>
    <row r="77" spans="1:29" x14ac:dyDescent="0.25">
      <c r="A77" s="432"/>
      <c r="B77" s="432"/>
      <c r="C77" s="432"/>
      <c r="D77" s="432"/>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row>
    <row r="78" spans="1:29" x14ac:dyDescent="0.25">
      <c r="A78" s="432"/>
      <c r="B78" s="432"/>
      <c r="C78" s="432"/>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row>
    <row r="79" spans="1:29" x14ac:dyDescent="0.25">
      <c r="A79" s="432"/>
      <c r="B79" s="432"/>
      <c r="C79" s="432"/>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row>
    <row r="80" spans="1:29" x14ac:dyDescent="0.25">
      <c r="A80" s="432"/>
      <c r="B80" s="432"/>
      <c r="C80" s="432"/>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row>
    <row r="81" spans="1:29" x14ac:dyDescent="0.25">
      <c r="A81" s="432"/>
      <c r="B81" s="432"/>
      <c r="C81" s="432"/>
      <c r="D81" s="432"/>
      <c r="E81" s="432"/>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row>
    <row r="82" spans="1:29" x14ac:dyDescent="0.25">
      <c r="A82" s="432"/>
      <c r="B82" s="432"/>
      <c r="C82" s="432"/>
      <c r="D82" s="432"/>
      <c r="E82" s="432"/>
      <c r="F82" s="432"/>
      <c r="G82" s="432"/>
      <c r="H82" s="432"/>
      <c r="I82" s="432"/>
      <c r="J82" s="432"/>
      <c r="K82" s="432"/>
      <c r="L82" s="432"/>
      <c r="M82" s="432"/>
      <c r="N82" s="432"/>
      <c r="O82" s="432"/>
      <c r="P82" s="432"/>
      <c r="Q82" s="432"/>
      <c r="R82" s="432"/>
      <c r="S82" s="432"/>
      <c r="T82" s="432"/>
      <c r="U82" s="432"/>
      <c r="V82" s="432"/>
      <c r="W82" s="432"/>
      <c r="X82" s="432"/>
      <c r="Y82" s="432"/>
      <c r="Z82" s="432"/>
      <c r="AA82" s="432"/>
      <c r="AB82" s="432"/>
      <c r="AC82" s="432"/>
    </row>
    <row r="83" spans="1:29" x14ac:dyDescent="0.25">
      <c r="A83" s="432"/>
      <c r="B83" s="432"/>
      <c r="C83" s="432"/>
      <c r="D83" s="432"/>
      <c r="E83" s="432"/>
      <c r="F83" s="432"/>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row>
    <row r="84" spans="1:29" x14ac:dyDescent="0.25">
      <c r="A84" s="432"/>
      <c r="B84" s="432"/>
      <c r="C84" s="432"/>
      <c r="D84" s="432"/>
      <c r="E84" s="432"/>
      <c r="F84" s="43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row>
    <row r="85" spans="1:29" x14ac:dyDescent="0.25">
      <c r="A85" s="432"/>
      <c r="B85" s="432"/>
      <c r="C85" s="432"/>
      <c r="D85" s="432"/>
      <c r="E85" s="432"/>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row>
    <row r="86" spans="1:29" x14ac:dyDescent="0.25">
      <c r="A86" s="432"/>
      <c r="B86" s="432"/>
      <c r="C86" s="432"/>
      <c r="D86" s="432"/>
      <c r="E86" s="432"/>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row>
    <row r="87" spans="1:29" x14ac:dyDescent="0.25">
      <c r="A87" s="432"/>
      <c r="B87" s="432"/>
      <c r="C87" s="432"/>
      <c r="D87" s="432"/>
      <c r="E87" s="432"/>
      <c r="F87" s="43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row>
    <row r="88" spans="1:29" x14ac:dyDescent="0.25">
      <c r="A88" s="432"/>
      <c r="B88" s="432"/>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row>
    <row r="89" spans="1:29" x14ac:dyDescent="0.25">
      <c r="A89" s="432"/>
      <c r="B89" s="432"/>
      <c r="C89" s="432"/>
      <c r="D89" s="432"/>
      <c r="E89" s="432"/>
      <c r="F89" s="432"/>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row>
    <row r="90" spans="1:29" x14ac:dyDescent="0.25">
      <c r="A90" s="432"/>
      <c r="B90" s="432"/>
      <c r="C90" s="432"/>
      <c r="D90" s="432"/>
      <c r="E90" s="432"/>
      <c r="F90" s="43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row>
    <row r="91" spans="1:29" x14ac:dyDescent="0.25">
      <c r="A91" s="432"/>
      <c r="B91" s="432"/>
      <c r="C91" s="432"/>
      <c r="D91" s="432"/>
      <c r="E91" s="432"/>
      <c r="F91" s="432"/>
      <c r="G91" s="432"/>
      <c r="H91" s="432"/>
      <c r="I91" s="432"/>
      <c r="J91" s="432"/>
      <c r="K91" s="432"/>
      <c r="L91" s="432"/>
      <c r="M91" s="432"/>
      <c r="N91" s="432"/>
      <c r="O91" s="432"/>
      <c r="P91" s="432"/>
      <c r="Q91" s="432"/>
      <c r="R91" s="432"/>
      <c r="S91" s="432"/>
      <c r="T91" s="432"/>
      <c r="U91" s="432"/>
      <c r="V91" s="432"/>
      <c r="W91" s="432"/>
      <c r="X91" s="432"/>
      <c r="Y91" s="432"/>
      <c r="Z91" s="432"/>
      <c r="AA91" s="432"/>
      <c r="AB91" s="432"/>
      <c r="AC91" s="432"/>
    </row>
    <row r="92" spans="1:29" x14ac:dyDescent="0.25">
      <c r="A92" s="432"/>
      <c r="B92" s="432"/>
      <c r="C92" s="432"/>
      <c r="D92" s="432"/>
      <c r="E92" s="432"/>
      <c r="F92" s="432"/>
      <c r="G92" s="432"/>
      <c r="H92" s="432"/>
      <c r="I92" s="432"/>
      <c r="J92" s="432"/>
      <c r="K92" s="432"/>
      <c r="L92" s="432"/>
      <c r="M92" s="432"/>
      <c r="N92" s="432"/>
      <c r="O92" s="432"/>
      <c r="P92" s="432"/>
      <c r="Q92" s="432"/>
      <c r="R92" s="432"/>
      <c r="S92" s="432"/>
      <c r="T92" s="432"/>
      <c r="U92" s="432"/>
      <c r="V92" s="432"/>
      <c r="W92" s="432"/>
      <c r="X92" s="432"/>
      <c r="Y92" s="432"/>
      <c r="Z92" s="432"/>
      <c r="AA92" s="432"/>
      <c r="AB92" s="432"/>
      <c r="AC92" s="432"/>
    </row>
    <row r="93" spans="1:29" x14ac:dyDescent="0.25">
      <c r="A93" s="432"/>
      <c r="B93" s="432"/>
      <c r="C93" s="432"/>
      <c r="D93" s="432"/>
      <c r="E93" s="432"/>
      <c r="F93" s="43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row>
    <row r="94" spans="1:29" x14ac:dyDescent="0.25">
      <c r="A94" s="432"/>
      <c r="B94" s="432"/>
      <c r="C94" s="432"/>
      <c r="D94" s="432"/>
      <c r="E94" s="432"/>
      <c r="F94" s="432"/>
      <c r="G94" s="432"/>
      <c r="H94" s="432"/>
      <c r="I94" s="432"/>
      <c r="J94" s="432"/>
      <c r="K94" s="432"/>
      <c r="L94" s="432"/>
      <c r="M94" s="432"/>
      <c r="N94" s="432"/>
      <c r="O94" s="432"/>
      <c r="P94" s="432"/>
      <c r="Q94" s="432"/>
      <c r="R94" s="432"/>
      <c r="S94" s="432"/>
      <c r="T94" s="432"/>
      <c r="U94" s="432"/>
      <c r="V94" s="432"/>
      <c r="W94" s="432"/>
      <c r="X94" s="432"/>
      <c r="Y94" s="432"/>
      <c r="Z94" s="432"/>
      <c r="AA94" s="432"/>
      <c r="AB94" s="432"/>
      <c r="AC94" s="432"/>
    </row>
    <row r="95" spans="1:29" x14ac:dyDescent="0.25">
      <c r="A95" s="432"/>
      <c r="B95" s="432"/>
      <c r="C95" s="432"/>
      <c r="D95" s="432"/>
      <c r="E95" s="432"/>
      <c r="F95" s="432"/>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row>
    <row r="96" spans="1:29" x14ac:dyDescent="0.25">
      <c r="A96" s="432"/>
      <c r="B96" s="432"/>
      <c r="C96" s="432"/>
      <c r="D96" s="432"/>
      <c r="E96" s="432"/>
      <c r="F96" s="432"/>
      <c r="G96" s="432"/>
      <c r="H96" s="432"/>
      <c r="I96" s="432"/>
      <c r="J96" s="432"/>
      <c r="K96" s="432"/>
      <c r="L96" s="432"/>
      <c r="M96" s="432"/>
      <c r="N96" s="432"/>
      <c r="O96" s="432"/>
      <c r="P96" s="432"/>
      <c r="Q96" s="432"/>
      <c r="R96" s="432"/>
      <c r="S96" s="432"/>
      <c r="T96" s="432"/>
      <c r="U96" s="432"/>
      <c r="V96" s="432"/>
      <c r="W96" s="432"/>
      <c r="X96" s="432"/>
      <c r="Y96" s="432"/>
      <c r="Z96" s="432"/>
      <c r="AA96" s="432"/>
      <c r="AB96" s="432"/>
      <c r="AC96" s="432"/>
    </row>
    <row r="97" spans="1:29" x14ac:dyDescent="0.25">
      <c r="A97" s="432"/>
      <c r="B97" s="432"/>
      <c r="C97" s="432"/>
      <c r="D97" s="432"/>
      <c r="E97" s="432"/>
      <c r="F97" s="432"/>
      <c r="G97" s="432"/>
      <c r="H97" s="432"/>
      <c r="I97" s="432"/>
      <c r="J97" s="432"/>
      <c r="K97" s="432"/>
      <c r="L97" s="432"/>
      <c r="M97" s="432"/>
      <c r="N97" s="432"/>
      <c r="O97" s="432"/>
      <c r="P97" s="432"/>
      <c r="Q97" s="432"/>
      <c r="R97" s="432"/>
      <c r="S97" s="432"/>
      <c r="T97" s="432"/>
      <c r="U97" s="432"/>
      <c r="V97" s="432"/>
      <c r="W97" s="432"/>
      <c r="X97" s="432"/>
      <c r="Y97" s="432"/>
      <c r="Z97" s="432"/>
      <c r="AA97" s="432"/>
      <c r="AB97" s="432"/>
      <c r="AC97" s="432"/>
    </row>
    <row r="98" spans="1:29" x14ac:dyDescent="0.25">
      <c r="A98" s="432"/>
      <c r="B98" s="432"/>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432"/>
      <c r="AA98" s="432"/>
      <c r="AB98" s="432"/>
      <c r="AC98" s="432"/>
    </row>
    <row r="99" spans="1:29" x14ac:dyDescent="0.25">
      <c r="A99" s="432"/>
      <c r="B99" s="432"/>
      <c r="C99" s="432"/>
      <c r="D99" s="432"/>
      <c r="E99" s="432"/>
      <c r="F99" s="43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row>
    <row r="100" spans="1:29" x14ac:dyDescent="0.25">
      <c r="A100" s="432"/>
      <c r="B100" s="432"/>
      <c r="C100" s="432"/>
      <c r="D100" s="432"/>
      <c r="E100" s="432"/>
      <c r="F100" s="432"/>
      <c r="G100" s="432"/>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t="s">
        <v>219</v>
      </c>
    </row>
  </sheetData>
  <sheetProtection password="C730" sheet="1" objects="1" scenarios="1" selectLockedCells="1"/>
  <customSheetViews>
    <customSheetView guid="{68ABA936-E0C3-4F62-AA1D-4FD1F5462098}" showPageBreaks="1" showGridLines="0" showRowCol="0" fitToPage="1" printArea="1" view="pageBreakPreview">
      <selection activeCell="J14" sqref="J14"/>
      <pageMargins left="0.39370078740157483" right="0.39370078740157483" top="0.39370078740157483" bottom="0.39370078740157483" header="0" footer="0"/>
      <printOptions horizontalCentered="1"/>
      <pageSetup paperSize="9" scale="69" orientation="portrait" r:id="rId1"/>
    </customSheetView>
  </customSheetViews>
  <mergeCells count="34">
    <mergeCell ref="C49:L49"/>
    <mergeCell ref="C48:M48"/>
    <mergeCell ref="D46:L46"/>
    <mergeCell ref="C37:I37"/>
    <mergeCell ref="C38:I38"/>
    <mergeCell ref="C39:I39"/>
    <mergeCell ref="C44:L44"/>
    <mergeCell ref="C43:L43"/>
    <mergeCell ref="H42:K42"/>
    <mergeCell ref="C36:L36"/>
    <mergeCell ref="C23:L23"/>
    <mergeCell ref="C13:I13"/>
    <mergeCell ref="C14:I14"/>
    <mergeCell ref="C18:I18"/>
    <mergeCell ref="C19:I19"/>
    <mergeCell ref="C25:I25"/>
    <mergeCell ref="C29:I29"/>
    <mergeCell ref="C34:I34"/>
    <mergeCell ref="C24:I24"/>
    <mergeCell ref="C15:I15"/>
    <mergeCell ref="C17:I17"/>
    <mergeCell ref="C16:I16"/>
    <mergeCell ref="C26:I26"/>
    <mergeCell ref="C28:I28"/>
    <mergeCell ref="C27:I27"/>
    <mergeCell ref="C31:I31"/>
    <mergeCell ref="C32:I32"/>
    <mergeCell ref="C33:I33"/>
    <mergeCell ref="C9:L9"/>
    <mergeCell ref="C3:G4"/>
    <mergeCell ref="C12:L12"/>
    <mergeCell ref="C10:L10"/>
    <mergeCell ref="C30:I30"/>
    <mergeCell ref="C22:L22"/>
  </mergeCells>
  <conditionalFormatting sqref="C14:C19 C25:C29 C34 C38:C39">
    <cfRule type="expression" dxfId="274" priority="176">
      <formula>AND(L14&gt;0,OR(C14="",LEFT(C14,3)="Bsp"))</formula>
    </cfRule>
    <cfRule type="expression" dxfId="273" priority="175">
      <formula>AND(C14&lt;&gt;"",L14&lt;&gt;0,LEFT(C14,3)&lt;&gt;"Bsp")</formula>
    </cfRule>
    <cfRule type="expression" dxfId="272" priority="174">
      <formula>LEFT(C14,3)="Bsp"</formula>
    </cfRule>
  </conditionalFormatting>
  <conditionalFormatting sqref="C30:C33">
    <cfRule type="expression" dxfId="271" priority="58">
      <formula>LEFT(C30,3)="Bsp"</formula>
    </cfRule>
    <cfRule type="expression" dxfId="270" priority="59">
      <formula>AND(C30&lt;&gt;"",L30&lt;&gt;0,LEFT(C30,3)&lt;&gt;"Bsp")</formula>
    </cfRule>
    <cfRule type="expression" dxfId="269" priority="60">
      <formula>AND(L30&gt;0,OR(C30="",LEFT(C30,3)="Bsp"))</formula>
    </cfRule>
  </conditionalFormatting>
  <conditionalFormatting sqref="C46:L46">
    <cfRule type="expression" dxfId="262" priority="2082">
      <formula>SUM(#REF!)&lt;&gt;0</formula>
    </cfRule>
  </conditionalFormatting>
  <conditionalFormatting sqref="J14:J19 J38:J39">
    <cfRule type="expression" dxfId="258" priority="89">
      <formula>AND(C14&lt;&gt;"",L14&lt;&gt;0,LEFT(C14,3)&lt;&gt;"Bsp", J14&gt;0)</formula>
    </cfRule>
  </conditionalFormatting>
  <conditionalFormatting sqref="J25">
    <cfRule type="expression" dxfId="257" priority="1124">
      <formula>J25&lt;&gt;""</formula>
    </cfRule>
  </conditionalFormatting>
  <conditionalFormatting sqref="J26:J34">
    <cfRule type="expression" dxfId="256" priority="53">
      <formula>J26&lt;&gt;""</formula>
    </cfRule>
  </conditionalFormatting>
  <conditionalFormatting sqref="J14:K19 J25:K25 J38:K39">
    <cfRule type="expression" dxfId="255" priority="1121">
      <formula>LEFT(J14,3)="Bsp"</formula>
    </cfRule>
  </conditionalFormatting>
  <conditionalFormatting sqref="J14:K19 J38:K39 J25:K25">
    <cfRule type="expression" dxfId="254" priority="1122">
      <formula>AND(T14&gt;0,OR(J14="",LEFT(J14,3)="Bsp"))</formula>
    </cfRule>
  </conditionalFormatting>
  <conditionalFormatting sqref="J14:K19">
    <cfRule type="expression" dxfId="253" priority="66">
      <formula>J14&lt;&gt;""</formula>
    </cfRule>
  </conditionalFormatting>
  <conditionalFormatting sqref="J26:K34">
    <cfRule type="expression" dxfId="251" priority="48">
      <formula>LEFT(J26,3)="Bsp"</formula>
    </cfRule>
    <cfRule type="expression" dxfId="250" priority="49">
      <formula>AND(T26&gt;0,OR(J26="",LEFT(J26,3)="Bsp"))</formula>
    </cfRule>
  </conditionalFormatting>
  <conditionalFormatting sqref="J38:K39">
    <cfRule type="expression" dxfId="249" priority="65">
      <formula>J38&lt;&gt;""</formula>
    </cfRule>
  </conditionalFormatting>
  <conditionalFormatting sqref="K14:K19 K38:K39">
    <cfRule type="expression" dxfId="248" priority="76">
      <formula>AND(C14&lt;&gt;"",L14&lt;&gt;0,LEFT(C14,3)&lt;&gt;"Bsp", K14&gt;0)</formula>
    </cfRule>
  </conditionalFormatting>
  <conditionalFormatting sqref="K14:K19">
    <cfRule type="expression" dxfId="247" priority="42">
      <formula>K14&gt;800</formula>
    </cfRule>
  </conditionalFormatting>
  <conditionalFormatting sqref="K25">
    <cfRule type="expression" dxfId="246" priority="75">
      <formula>K25&lt;&gt;""</formula>
    </cfRule>
  </conditionalFormatting>
  <conditionalFormatting sqref="K26:K34">
    <cfRule type="expression" dxfId="245" priority="47">
      <formula>K26&lt;&gt;""</formula>
    </cfRule>
  </conditionalFormatting>
  <conditionalFormatting sqref="L14:L19">
    <cfRule type="expression" dxfId="244" priority="121">
      <formula>AND(C14&lt;&gt;"",L14&lt;&gt;0,LEFT(C14,3)&lt;&gt;"Bsp")</formula>
    </cfRule>
    <cfRule type="expression" dxfId="243" priority="72">
      <formula>K14&gt;800</formula>
    </cfRule>
  </conditionalFormatting>
  <conditionalFormatting sqref="L25:L29">
    <cfRule type="expression" dxfId="242" priority="117">
      <formula>AND(C25&lt;&gt;"",L25&lt;&gt;0,LEFT(C25,3)&lt;&gt;"Bsp")</formula>
    </cfRule>
  </conditionalFormatting>
  <conditionalFormatting sqref="L30:L33">
    <cfRule type="expression" dxfId="241" priority="57">
      <formula>AND(C30&lt;&gt;"",L30&lt;&gt;0,LEFT(C30,3)&lt;&gt;"Bsp")</formula>
    </cfRule>
  </conditionalFormatting>
  <conditionalFormatting sqref="L34">
    <cfRule type="expression" dxfId="240" priority="113">
      <formula>AND(C34&lt;&gt;"",L34&lt;&gt;0,LEFT(C34,3)&lt;&gt;"Bsp")</formula>
    </cfRule>
  </conditionalFormatting>
  <conditionalFormatting sqref="L38:L39">
    <cfRule type="expression" dxfId="239" priority="177">
      <formula>AND(C38&lt;&gt;"",L38&lt;&gt;0,LEFT(C38,3)&lt;&gt;"Bsp")</formula>
    </cfRule>
  </conditionalFormatting>
  <dataValidations count="2">
    <dataValidation type="decimal" operator="greaterThanOrEqual" allowBlank="1" showInputMessage="1" showErrorMessage="1" errorTitle="Hinweis" error="Die Höhe der Ausgaben ist zu niedrig. Bitte tragen Sie diese Ausgabe in die Position 0838 (Gegenstände &lt; 800 €) ein. " sqref="K38:K39" xr:uid="{00000000-0002-0000-0B00-000000000000}">
      <formula1>800</formula1>
    </dataValidation>
    <dataValidation type="decimal" operator="lessThanOrEqual" allowBlank="1" showErrorMessage="1" errorTitle="Achtung:" error="Eingabe überschreitet maximal möglichen Stückpreis." sqref="K14" xr:uid="{00000000-0002-0000-0B00-000001000000}">
      <formula1>800</formula1>
    </dataValidation>
  </dataValidations>
  <printOptions horizontalCentered="1"/>
  <pageMargins left="0.39370078740157483" right="0.19685039370078741" top="0.19685039370078741" bottom="0.19685039370078741" header="0" footer="0"/>
  <pageSetup paperSize="9" scale="7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81" r:id="rId5" name="Check Box 1">
              <controlPr defaultSize="0" autoFill="0" autoLine="0" autoPict="0">
                <anchor moveWithCells="1">
                  <from>
                    <xdr:col>2</xdr:col>
                    <xdr:colOff>50800</xdr:colOff>
                    <xdr:row>45</xdr:row>
                    <xdr:rowOff>38100</xdr:rowOff>
                  </from>
                  <to>
                    <xdr:col>2</xdr:col>
                    <xdr:colOff>298450</xdr:colOff>
                    <xdr:row>46</xdr:row>
                    <xdr:rowOff>0</xdr:rowOff>
                  </to>
                </anchor>
              </controlPr>
            </control>
          </mc:Choice>
        </mc:AlternateContent>
        <mc:AlternateContent xmlns:mc="http://schemas.openxmlformats.org/markup-compatibility/2006">
          <mc:Choice Requires="x14">
            <control shapeId="20482" r:id="rId6" name="Check Box 2">
              <controlPr defaultSize="0" autoFill="0" autoLine="0" autoPict="0">
                <anchor moveWithCells="1">
                  <from>
                    <xdr:col>1</xdr:col>
                    <xdr:colOff>146050</xdr:colOff>
                    <xdr:row>3</xdr:row>
                    <xdr:rowOff>146050</xdr:rowOff>
                  </from>
                  <to>
                    <xdr:col>4</xdr:col>
                    <xdr:colOff>603250</xdr:colOff>
                    <xdr:row>4</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7" id="{8C0FCF99-4F54-413C-99E0-4A80809FBE8A}">
            <xm:f>menu!$U$4=FALSE</xm:f>
            <x14:dxf>
              <font>
                <color theme="0"/>
              </font>
              <fill>
                <patternFill>
                  <fgColor theme="0"/>
                  <bgColor theme="0"/>
                </patternFill>
              </fill>
              <border>
                <left/>
                <right/>
                <top/>
                <bottom/>
                <vertical/>
                <horizontal/>
              </border>
            </x14:dxf>
          </x14:cfRule>
          <xm:sqref>C48</xm:sqref>
        </x14:conditionalFormatting>
        <x14:conditionalFormatting xmlns:xm="http://schemas.microsoft.com/office/excel/2006/main">
          <x14:cfRule type="expression" priority="55" id="{6A497543-7C65-4F68-BFA1-A4E3D89F604B}">
            <xm:f>menu!$U$9=FALSE</xm:f>
            <x14:dxf>
              <font>
                <color theme="0"/>
              </font>
              <fill>
                <patternFill>
                  <fgColor theme="0"/>
                  <bgColor theme="0"/>
                </patternFill>
              </fill>
              <border>
                <left/>
                <right/>
                <top/>
                <bottom/>
                <vertical/>
                <horizontal/>
              </border>
            </x14:dxf>
          </x14:cfRule>
          <xm:sqref>C30:I33 L30:M33</xm:sqref>
        </x14:conditionalFormatting>
        <x14:conditionalFormatting xmlns:xm="http://schemas.microsoft.com/office/excel/2006/main">
          <x14:cfRule type="expression" priority="70" id="{E5998333-9272-4CD5-8D1F-C2E0BFA8FC70}">
            <xm:f>menu!$U$9=FALSE</xm:f>
            <x14:dxf>
              <font>
                <color theme="0"/>
              </font>
              <fill>
                <patternFill>
                  <fgColor theme="0"/>
                  <bgColor theme="0"/>
                </patternFill>
              </fill>
              <border>
                <left/>
                <right/>
                <top/>
                <bottom/>
                <vertical/>
                <horizontal/>
              </border>
            </x14:dxf>
          </x14:cfRule>
          <xm:sqref>C9:L10</xm:sqref>
        </x14:conditionalFormatting>
        <x14:conditionalFormatting xmlns:xm="http://schemas.microsoft.com/office/excel/2006/main">
          <x14:cfRule type="expression" priority="43" id="{74815375-5812-4CA2-896F-BE537ADDA408}">
            <xm:f>menu!$U$9=FALSE</xm:f>
            <x14:dxf>
              <font>
                <color theme="0"/>
              </font>
              <fill>
                <patternFill>
                  <fgColor theme="0"/>
                  <bgColor theme="0"/>
                </patternFill>
              </fill>
              <border>
                <left/>
                <right/>
                <top/>
                <bottom/>
                <vertical/>
                <horizontal/>
              </border>
            </x14:dxf>
          </x14:cfRule>
          <xm:sqref>C22:L22</xm:sqref>
        </x14:conditionalFormatting>
        <x14:conditionalFormatting xmlns:xm="http://schemas.microsoft.com/office/excel/2006/main">
          <x14:cfRule type="expression" priority="45" id="{E887F458-733D-4E98-98F9-D77BD3FBA10A}">
            <xm:f>menu!$U$9=FALSE</xm:f>
            <x14:dxf>
              <font>
                <color theme="0"/>
              </font>
              <fill>
                <patternFill>
                  <fgColor theme="0"/>
                  <bgColor theme="0"/>
                </patternFill>
              </fill>
              <border>
                <left/>
                <right/>
                <top/>
                <bottom/>
                <vertical/>
                <horizontal/>
              </border>
            </x14:dxf>
          </x14:cfRule>
          <xm:sqref>C44:L44</xm:sqref>
        </x14:conditionalFormatting>
        <x14:conditionalFormatting xmlns:xm="http://schemas.microsoft.com/office/excel/2006/main">
          <x14:cfRule type="expression" priority="206" id="{D5D1CB8B-D288-40E3-9263-9EDE56FED819}">
            <xm:f>menu!$B$51=TRUE</xm:f>
            <x14:dxf>
              <fill>
                <patternFill>
                  <bgColor rgb="FFEBF1DE"/>
                </patternFill>
              </fill>
            </x14:dxf>
          </x14:cfRule>
          <xm:sqref>C46:L46</xm:sqref>
        </x14:conditionalFormatting>
        <x14:conditionalFormatting xmlns:xm="http://schemas.microsoft.com/office/excel/2006/main">
          <x14:cfRule type="expression" priority="64" id="{3658D011-925B-43FC-A0DF-F58BFD4BB3CC}">
            <xm:f>menu!$U$9=FALSE</xm:f>
            <x14:dxf>
              <font>
                <color theme="0"/>
              </font>
              <fill>
                <patternFill>
                  <fgColor theme="0"/>
                  <bgColor theme="0"/>
                </patternFill>
              </fill>
              <border>
                <left/>
                <right/>
                <top/>
                <bottom/>
                <vertical/>
                <horizontal/>
              </border>
            </x14:dxf>
          </x14:cfRule>
          <xm:sqref>C7:M41 L42:M42 H3:M6 C6:F6 C42:H42 C43 M43 C44:M49</xm:sqref>
        </x14:conditionalFormatting>
        <x14:conditionalFormatting xmlns:xm="http://schemas.microsoft.com/office/excel/2006/main">
          <x14:cfRule type="expression" priority="79" id="{7A24AC3C-1F41-497D-8D9B-5694B2B748CC}">
            <xm:f>$F$6&gt;menu!$C$160</xm:f>
            <x14:dxf>
              <font>
                <color rgb="FFFF0000"/>
              </font>
              <fill>
                <patternFill patternType="none">
                  <bgColor auto="1"/>
                </patternFill>
              </fill>
            </x14:dxf>
          </x14:cfRule>
          <xm:sqref>F6</xm:sqref>
        </x14:conditionalFormatting>
        <x14:conditionalFormatting xmlns:xm="http://schemas.microsoft.com/office/excel/2006/main">
          <x14:cfRule type="iconSet" priority="40" id="{3793FCB7-9E58-493F-9FEA-5ADE8ED063D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41" id="{987E0449-FE36-4E21-8B86-31D8473AB732}">
            <xm:f>menu!$U$7=FALSE</xm:f>
            <x14:dxf>
              <font>
                <color theme="0"/>
              </font>
              <fill>
                <patternFill>
                  <fgColor theme="0"/>
                  <bgColor theme="0"/>
                </patternFill>
              </fill>
              <border>
                <left/>
                <right/>
                <top/>
                <bottom/>
                <vertical/>
                <horizontal/>
              </border>
            </x14:dxf>
          </x14:cfRule>
          <xm:sqref>G6</xm:sqref>
        </x14:conditionalFormatting>
        <x14:conditionalFormatting xmlns:xm="http://schemas.microsoft.com/office/excel/2006/main">
          <x14:cfRule type="expression" priority="46" id="{9416518D-3632-457C-80FB-53E5B4FF6587}">
            <xm:f>menu!$U$9=FALSE</xm:f>
            <x14:dxf>
              <font>
                <color theme="0"/>
              </font>
              <fill>
                <patternFill>
                  <fgColor theme="0"/>
                  <bgColor theme="0"/>
                </patternFill>
              </fill>
              <border>
                <left/>
                <right/>
                <top/>
                <bottom/>
                <vertical/>
                <horizontal/>
              </border>
            </x14:dxf>
          </x14:cfRule>
          <xm:sqref>J26:K34</xm:sqref>
        </x14:conditionalFormatting>
        <x14:conditionalFormatting xmlns:xm="http://schemas.microsoft.com/office/excel/2006/main">
          <x14:cfRule type="expression" priority="2" id="{9871F2B8-7B17-4302-BCA9-183BC4E3D8BE}">
            <xm:f>OR($L$42&gt;20000,Ausgabenkalkulation!$L$27&gt;20000)</xm:f>
            <x14:dxf>
              <fill>
                <patternFill>
                  <bgColor rgb="FFE3B5A2"/>
                </patternFill>
              </fill>
            </x14:dxf>
          </x14:cfRule>
          <xm:sqref>L42</xm:sqref>
        </x14:conditionalFormatting>
        <x14:conditionalFormatting xmlns:xm="http://schemas.microsoft.com/office/excel/2006/main">
          <x14:cfRule type="iconSet" priority="101" id="{723BA3A4-4DBB-486D-BF5A-F9591A93723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M14:M19</xm:sqref>
        </x14:conditionalFormatting>
        <x14:conditionalFormatting xmlns:xm="http://schemas.microsoft.com/office/excel/2006/main">
          <x14:cfRule type="iconSet" priority="100" id="{0B476962-4E54-49B6-84E1-2BC8DEFDC44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M18</xm:sqref>
        </x14:conditionalFormatting>
        <x14:conditionalFormatting xmlns:xm="http://schemas.microsoft.com/office/excel/2006/main">
          <x14:cfRule type="iconSet" priority="99" id="{1574FFFA-2C91-41BF-AB14-C6A8C656924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M19</xm:sqref>
        </x14:conditionalFormatting>
        <x14:conditionalFormatting xmlns:xm="http://schemas.microsoft.com/office/excel/2006/main">
          <x14:cfRule type="iconSet" priority="98" id="{E2D13DFE-33FE-445F-ABFC-179E77021EA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M25:M29 M34</xm:sqref>
        </x14:conditionalFormatting>
        <x14:conditionalFormatting xmlns:xm="http://schemas.microsoft.com/office/excel/2006/main">
          <x14:cfRule type="iconSet" priority="95" id="{C5606F9A-365A-4A94-AC23-6423F291110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M29</xm:sqref>
        </x14:conditionalFormatting>
        <x14:conditionalFormatting xmlns:xm="http://schemas.microsoft.com/office/excel/2006/main">
          <x14:cfRule type="iconSet" priority="56" id="{CAE1C43B-FED7-46F7-A409-AF13FB5844B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M30:M33</xm:sqref>
        </x14:conditionalFormatting>
        <x14:conditionalFormatting xmlns:xm="http://schemas.microsoft.com/office/excel/2006/main">
          <x14:cfRule type="iconSet" priority="94" id="{2D4A311B-3936-4DAD-B043-2466E83FBF4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M34</xm:sqref>
        </x14:conditionalFormatting>
        <x14:conditionalFormatting xmlns:xm="http://schemas.microsoft.com/office/excel/2006/main">
          <x14:cfRule type="iconSet" priority="1852" id="{32BE4EBD-B22A-4725-A64D-E8EE0878F30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M38:M39</xm:sqref>
        </x14:conditionalFormatting>
        <x14:conditionalFormatting xmlns:xm="http://schemas.microsoft.com/office/excel/2006/main">
          <x14:cfRule type="iconSet" priority="1" id="{8FB6BF65-DABC-4DC1-A0AE-62C35BF854A1}">
            <x14:iconSet custom="1">
              <x14:cfvo type="percent">
                <xm:f>0</xm:f>
              </x14:cfvo>
              <x14:cfvo type="num">
                <xm:f>0</xm:f>
              </x14:cfvo>
              <x14:cfvo type="num">
                <xm:f>1</xm:f>
              </x14:cfvo>
              <x14:cfIcon iconSet="NoIcons" iconId="0"/>
              <x14:cfIcon iconSet="3Symbols2" iconId="2"/>
              <x14:cfIcon iconSet="3Symbols2" iconId="0"/>
            </x14:iconSet>
          </x14:cfRule>
          <xm:sqref>M42</xm:sqref>
        </x14:conditionalFormatting>
        <x14:conditionalFormatting xmlns:xm="http://schemas.microsoft.com/office/excel/2006/main">
          <x14:cfRule type="iconSet" priority="90" id="{07ECF648-A1C3-4BC2-A0E9-B820793A5E3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tabColor rgb="FFFCF2F7"/>
    <pageSetUpPr fitToPage="1"/>
  </sheetPr>
  <dimension ref="B3:AA61"/>
  <sheetViews>
    <sheetView showGridLines="0" showRowColHeaders="0" view="pageBreakPreview" zoomScaleNormal="115" zoomScaleSheetLayoutView="100" workbookViewId="0">
      <selection activeCell="C14" sqref="C14:L14"/>
    </sheetView>
  </sheetViews>
  <sheetFormatPr baseColWidth="10" defaultColWidth="11.453125" defaultRowHeight="11.5" x14ac:dyDescent="0.25"/>
  <cols>
    <col min="1" max="2" width="2.26953125" style="86" customWidth="1"/>
    <col min="3" max="3" width="6" style="86" customWidth="1"/>
    <col min="4" max="4" width="12.26953125" style="86" customWidth="1"/>
    <col min="5" max="5" width="18.7265625" style="86" customWidth="1"/>
    <col min="6" max="6" width="14.453125" style="86" customWidth="1"/>
    <col min="7" max="7" width="14.54296875" style="86" customWidth="1"/>
    <col min="8" max="8" width="14.1796875" style="86" customWidth="1"/>
    <col min="9" max="9" width="4.7265625" style="86" customWidth="1"/>
    <col min="10" max="10" width="9.7265625" style="86" customWidth="1"/>
    <col min="11" max="11" width="15" style="86" bestFit="1" customWidth="1"/>
    <col min="12" max="12" width="15" style="86" customWidth="1"/>
    <col min="13" max="13" width="3.453125" style="86" customWidth="1"/>
    <col min="14" max="14" width="2.26953125" style="86" customWidth="1"/>
    <col min="15" max="16384" width="11.453125" style="86"/>
  </cols>
  <sheetData>
    <row r="3" spans="2:12" ht="17.25" customHeight="1" x14ac:dyDescent="0.25">
      <c r="C3" s="749" t="s">
        <v>102</v>
      </c>
      <c r="D3" s="749"/>
      <c r="E3" s="749"/>
      <c r="F3" s="749"/>
      <c r="G3" s="749"/>
      <c r="H3" s="108"/>
      <c r="I3" s="87"/>
      <c r="J3" s="88" t="s">
        <v>63</v>
      </c>
      <c r="K3" s="109"/>
      <c r="L3" s="109"/>
    </row>
    <row r="4" spans="2:12" ht="17.25" customHeight="1" x14ac:dyDescent="0.25">
      <c r="C4" s="749"/>
      <c r="D4" s="749"/>
      <c r="E4" s="749"/>
      <c r="F4" s="749"/>
      <c r="G4" s="749"/>
      <c r="H4" s="108"/>
      <c r="I4" s="166"/>
      <c r="J4" s="89" t="s">
        <v>62</v>
      </c>
      <c r="K4" s="109"/>
      <c r="L4" s="109"/>
    </row>
    <row r="5" spans="2:12" ht="17.25" customHeight="1" x14ac:dyDescent="0.25">
      <c r="I5" s="90"/>
      <c r="J5" s="89" t="s">
        <v>61</v>
      </c>
    </row>
    <row r="6" spans="2:12" ht="17.25" customHeight="1" x14ac:dyDescent="0.25">
      <c r="C6" s="129" t="s">
        <v>495</v>
      </c>
      <c r="F6" s="171">
        <f>SUM(K55:K58)</f>
        <v>0</v>
      </c>
      <c r="G6" s="8">
        <f>IF(SUM(F55:J58)&gt;menu!C161,1,0)</f>
        <v>0</v>
      </c>
      <c r="I6" s="91"/>
      <c r="J6" s="89" t="s">
        <v>48</v>
      </c>
    </row>
    <row r="7" spans="2:12" ht="17.25" customHeight="1" x14ac:dyDescent="0.25">
      <c r="C7" s="172" t="str">
        <f>IF(F6&gt;menu!C161,"Achtung: zuwendungsfähig sind Ausgaben im Umfang von max. " &amp; TEXT(menu!C161,"#.###,## €") &amp;"!"," ")</f>
        <v xml:space="preserve"> </v>
      </c>
      <c r="I7" s="92"/>
      <c r="J7" s="89" t="s">
        <v>49</v>
      </c>
    </row>
    <row r="8" spans="2:12" ht="6" customHeight="1" x14ac:dyDescent="0.25">
      <c r="C8" s="124"/>
      <c r="D8" s="124"/>
      <c r="E8" s="124"/>
      <c r="F8" s="124"/>
      <c r="G8" s="124"/>
      <c r="H8" s="124"/>
      <c r="I8" s="333"/>
      <c r="J8" s="334"/>
      <c r="K8" s="124"/>
      <c r="L8" s="124"/>
    </row>
    <row r="9" spans="2:12" ht="15" customHeight="1" x14ac:dyDescent="0.25">
      <c r="C9" s="546" t="s">
        <v>9</v>
      </c>
      <c r="D9" s="547"/>
      <c r="E9" s="547"/>
      <c r="F9" s="547"/>
      <c r="G9" s="547"/>
      <c r="H9" s="547"/>
      <c r="I9" s="547"/>
      <c r="J9" s="547"/>
      <c r="K9" s="547"/>
      <c r="L9" s="548"/>
    </row>
    <row r="10" spans="2:12" ht="51.75" customHeight="1" x14ac:dyDescent="0.25">
      <c r="B10" s="128"/>
      <c r="C10" s="550" t="str">
        <f>IF(menu!F46="ÜGR",IF(AND(menu!G46="Integriertes Konzept",menu!H46="Erstvorhaben"),Texte!C8,IF(AND(menu!G46="Integriertes Konzept",menu!H46="Anschlussvorhaben"),Texte!E8,IF(AND(menu!G46="Teilkonzept",menu!H46="Erstvorhaben"),Texte!D8,IF(AND(menu!G46="Teilkonzept",menu!H46="Anschlussvorhaben"),Texte!F8)))),IF(menu!H46="Anschlussvorhaben",Texte!H8,IF(menu!H46="Erstvorhaben",Texte!G8,"Bitte befüllen Sie das Blatt 'Basisdaten'.")))</f>
        <v>Bitte beachten Sie: Zuwendungsfähig sind Sachausgaben zur Beteiligung der relevanten Akteure (Organisation und Durchführung von Beteiligungsprozessen) im Umfang von max. 10.000 Euro.</v>
      </c>
      <c r="D10" s="550"/>
      <c r="E10" s="550"/>
      <c r="F10" s="550"/>
      <c r="G10" s="550"/>
      <c r="H10" s="550"/>
      <c r="I10" s="550"/>
      <c r="J10" s="550"/>
      <c r="K10" s="550"/>
      <c r="L10" s="551"/>
    </row>
    <row r="11" spans="2:12" ht="6" customHeight="1" x14ac:dyDescent="0.25">
      <c r="C11" s="99"/>
      <c r="D11" s="99"/>
      <c r="E11" s="99"/>
      <c r="F11" s="99"/>
      <c r="G11" s="99"/>
      <c r="H11" s="99"/>
      <c r="I11" s="99"/>
      <c r="J11" s="99"/>
      <c r="K11" s="99"/>
      <c r="L11" s="403"/>
    </row>
    <row r="12" spans="2:12" ht="15" customHeight="1" x14ac:dyDescent="0.25">
      <c r="C12" s="546" t="s">
        <v>9</v>
      </c>
      <c r="D12" s="547"/>
      <c r="E12" s="547"/>
      <c r="F12" s="547"/>
      <c r="G12" s="547"/>
      <c r="H12" s="547"/>
      <c r="I12" s="547"/>
      <c r="J12" s="547"/>
      <c r="K12" s="547"/>
      <c r="L12" s="548"/>
    </row>
    <row r="13" spans="2:12" ht="168.75" customHeight="1" x14ac:dyDescent="0.25">
      <c r="C13" s="796" t="s">
        <v>318</v>
      </c>
      <c r="D13" s="797"/>
      <c r="E13" s="797"/>
      <c r="F13" s="797"/>
      <c r="G13" s="797"/>
      <c r="H13" s="797"/>
      <c r="I13" s="797"/>
      <c r="J13" s="797"/>
      <c r="K13" s="797"/>
      <c r="L13" s="798"/>
    </row>
    <row r="14" spans="2:12" ht="16.5" customHeight="1" x14ac:dyDescent="0.25">
      <c r="C14" s="802" t="s">
        <v>319</v>
      </c>
      <c r="D14" s="803"/>
      <c r="E14" s="803"/>
      <c r="F14" s="803"/>
      <c r="G14" s="803"/>
      <c r="H14" s="803"/>
      <c r="I14" s="803"/>
      <c r="J14" s="803"/>
      <c r="K14" s="803"/>
      <c r="L14" s="804"/>
    </row>
    <row r="15" spans="2:12" ht="6" customHeight="1" x14ac:dyDescent="0.25">
      <c r="C15" s="138"/>
      <c r="D15" s="138"/>
      <c r="E15" s="138"/>
      <c r="F15" s="138"/>
      <c r="G15" s="138"/>
      <c r="H15" s="138"/>
      <c r="I15" s="138"/>
      <c r="J15" s="138"/>
      <c r="K15" s="138"/>
      <c r="L15" s="138"/>
    </row>
    <row r="16" spans="2:12" ht="17.25" customHeight="1" x14ac:dyDescent="0.25">
      <c r="C16" s="761" t="s">
        <v>548</v>
      </c>
      <c r="D16" s="762"/>
      <c r="E16" s="762"/>
      <c r="F16" s="762"/>
      <c r="G16" s="762"/>
      <c r="H16" s="762"/>
      <c r="I16" s="762"/>
      <c r="J16" s="762"/>
      <c r="K16" s="762"/>
      <c r="L16" s="763"/>
    </row>
    <row r="17" spans="2:16" ht="6" customHeight="1" x14ac:dyDescent="0.25">
      <c r="C17" s="138"/>
      <c r="D17" s="138"/>
      <c r="E17" s="138"/>
      <c r="F17" s="138"/>
      <c r="G17" s="138"/>
      <c r="H17" s="138"/>
      <c r="I17" s="138"/>
      <c r="J17" s="138"/>
      <c r="K17" s="138"/>
      <c r="L17" s="138"/>
    </row>
    <row r="18" spans="2:16" ht="15" customHeight="1" thickBot="1" x14ac:dyDescent="0.3">
      <c r="C18" s="757" t="s">
        <v>583</v>
      </c>
      <c r="D18" s="757"/>
      <c r="E18" s="757"/>
      <c r="F18" s="757"/>
      <c r="G18" s="757"/>
      <c r="H18" s="757"/>
      <c r="I18" s="757"/>
      <c r="J18" s="765"/>
      <c r="K18" s="765"/>
      <c r="L18" s="757"/>
    </row>
    <row r="19" spans="2:16" ht="15" customHeight="1" x14ac:dyDescent="0.25">
      <c r="B19" s="93"/>
      <c r="C19" s="783" t="s">
        <v>19</v>
      </c>
      <c r="D19" s="791"/>
      <c r="E19" s="791"/>
      <c r="F19" s="791"/>
      <c r="G19" s="791"/>
      <c r="H19" s="791"/>
      <c r="I19" s="791"/>
      <c r="J19" s="102" t="s">
        <v>214</v>
      </c>
      <c r="K19" s="102" t="s">
        <v>215</v>
      </c>
      <c r="L19" s="256" t="s">
        <v>11</v>
      </c>
    </row>
    <row r="20" spans="2:16" ht="36" customHeight="1" x14ac:dyDescent="0.25">
      <c r="B20" s="93"/>
      <c r="C20" s="751"/>
      <c r="D20" s="752"/>
      <c r="E20" s="752"/>
      <c r="F20" s="752"/>
      <c r="G20" s="752"/>
      <c r="H20" s="752"/>
      <c r="I20" s="753"/>
      <c r="J20" s="206"/>
      <c r="K20" s="131"/>
      <c r="L20" s="201">
        <f>J20*K20</f>
        <v>0</v>
      </c>
      <c r="M20" s="9">
        <f>IF(menu!$U$7=FALSE,0,IF(AND(menu!$U$7=TRUE,L20=0),0,IF(AND(L20&gt;0,OR(C20="",LEFT(C20,3)="Bsp")),1,IF(K20&lt;=800,0,1))))</f>
        <v>0</v>
      </c>
    </row>
    <row r="21" spans="2:16" ht="36" customHeight="1" x14ac:dyDescent="0.25">
      <c r="B21" s="93"/>
      <c r="C21" s="751"/>
      <c r="D21" s="752"/>
      <c r="E21" s="752"/>
      <c r="F21" s="752"/>
      <c r="G21" s="752"/>
      <c r="H21" s="752"/>
      <c r="I21" s="753"/>
      <c r="J21" s="206"/>
      <c r="K21" s="131"/>
      <c r="L21" s="201">
        <f t="shared" ref="L21:L24" si="0">J21*K21</f>
        <v>0</v>
      </c>
      <c r="M21" s="9">
        <f>IF(menu!$U$7=FALSE,0,IF(AND(menu!$U$7=TRUE,L21=0),0,IF(AND(L21&gt;0,OR(C21="",LEFT(C21,3)="Bsp")),1,IF(K21&lt;=800,0,1))))</f>
        <v>0</v>
      </c>
    </row>
    <row r="22" spans="2:16" ht="36" customHeight="1" x14ac:dyDescent="0.25">
      <c r="B22" s="93"/>
      <c r="C22" s="751"/>
      <c r="D22" s="752"/>
      <c r="E22" s="752"/>
      <c r="F22" s="752"/>
      <c r="G22" s="752"/>
      <c r="H22" s="752"/>
      <c r="I22" s="753"/>
      <c r="J22" s="206"/>
      <c r="K22" s="131"/>
      <c r="L22" s="201">
        <f t="shared" si="0"/>
        <v>0</v>
      </c>
      <c r="M22" s="9">
        <f>IF(menu!$U$7=FALSE,0,IF(AND(menu!$U$7=TRUE,L22=0),0,IF(AND(L22&gt;0,OR(C22="",LEFT(C22,3)="Bsp")),1,IF(K22&lt;=800,0,1))))</f>
        <v>0</v>
      </c>
    </row>
    <row r="23" spans="2:16" ht="36" customHeight="1" x14ac:dyDescent="0.25">
      <c r="B23" s="93"/>
      <c r="C23" s="751"/>
      <c r="D23" s="752"/>
      <c r="E23" s="752"/>
      <c r="F23" s="752"/>
      <c r="G23" s="752"/>
      <c r="H23" s="752"/>
      <c r="I23" s="753"/>
      <c r="J23" s="206"/>
      <c r="K23" s="131"/>
      <c r="L23" s="201">
        <f t="shared" si="0"/>
        <v>0</v>
      </c>
      <c r="M23" s="9">
        <f>IF(menu!$U$7=FALSE,0,IF(AND(menu!$U$7=TRUE,L23=0),0,IF(AND(L23&gt;0,OR(C23="",LEFT(C23,3)="Bsp")),1,IF(K23&lt;=800,0,1))))</f>
        <v>0</v>
      </c>
    </row>
    <row r="24" spans="2:16" ht="36" customHeight="1" thickBot="1" x14ac:dyDescent="0.3">
      <c r="B24" s="93"/>
      <c r="C24" s="751"/>
      <c r="D24" s="752"/>
      <c r="E24" s="752"/>
      <c r="F24" s="752"/>
      <c r="G24" s="752"/>
      <c r="H24" s="752"/>
      <c r="I24" s="753"/>
      <c r="J24" s="250"/>
      <c r="K24" s="131"/>
      <c r="L24" s="201">
        <f t="shared" si="0"/>
        <v>0</v>
      </c>
      <c r="M24" s="9">
        <f>IF(menu!$U$7=FALSE,0,IF(AND(menu!$U$7=TRUE,L24=0),0,IF(AND(L24&gt;0,OR(C24="",LEFT(C24,3)="Bsp")),1,IF(K24&lt;=800,0,1))))</f>
        <v>0</v>
      </c>
    </row>
    <row r="25" spans="2:16" ht="12" thickBot="1" x14ac:dyDescent="0.3">
      <c r="C25" s="111"/>
      <c r="D25" s="111"/>
      <c r="E25" s="112"/>
      <c r="F25" s="112"/>
      <c r="G25" s="112"/>
      <c r="H25" s="112"/>
      <c r="I25" s="112"/>
      <c r="J25" s="198"/>
      <c r="K25" s="199" t="s">
        <v>17</v>
      </c>
      <c r="L25" s="115">
        <f>SUM(L20:L24)</f>
        <v>0</v>
      </c>
    </row>
    <row r="26" spans="2:16" ht="6" customHeight="1" x14ac:dyDescent="0.25">
      <c r="E26" s="106"/>
      <c r="F26" s="106"/>
      <c r="G26" s="106"/>
      <c r="H26" s="106"/>
      <c r="I26" s="106"/>
      <c r="J26" s="106"/>
      <c r="K26" s="122"/>
      <c r="L26" s="167"/>
    </row>
    <row r="27" spans="2:16" ht="29.25" customHeight="1" x14ac:dyDescent="0.25">
      <c r="C27" s="761" t="s">
        <v>153</v>
      </c>
      <c r="D27" s="800"/>
      <c r="E27" s="800"/>
      <c r="F27" s="800"/>
      <c r="G27" s="800"/>
      <c r="H27" s="800"/>
      <c r="I27" s="800"/>
      <c r="J27" s="800"/>
      <c r="K27" s="800"/>
      <c r="L27" s="801"/>
    </row>
    <row r="28" spans="2:16" ht="6" customHeight="1" x14ac:dyDescent="0.25"/>
    <row r="29" spans="2:16" ht="15" customHeight="1" thickBot="1" x14ac:dyDescent="0.3">
      <c r="C29" s="764" t="s">
        <v>186</v>
      </c>
      <c r="D29" s="764"/>
      <c r="E29" s="757"/>
      <c r="F29" s="757"/>
      <c r="G29" s="757"/>
      <c r="H29" s="757"/>
      <c r="I29" s="757"/>
      <c r="J29" s="757"/>
      <c r="K29" s="757"/>
      <c r="L29" s="757"/>
    </row>
    <row r="30" spans="2:16" ht="15" customHeight="1" x14ac:dyDescent="0.25">
      <c r="B30" s="93"/>
      <c r="C30" s="793" t="s">
        <v>19</v>
      </c>
      <c r="D30" s="794"/>
      <c r="E30" s="794"/>
      <c r="F30" s="794"/>
      <c r="G30" s="794"/>
      <c r="H30" s="794"/>
      <c r="I30" s="795"/>
      <c r="J30" s="200" t="s">
        <v>214</v>
      </c>
      <c r="K30" s="200" t="s">
        <v>76</v>
      </c>
      <c r="L30" s="175" t="s">
        <v>11</v>
      </c>
      <c r="M30" s="118"/>
      <c r="N30" s="118"/>
      <c r="O30" s="118"/>
      <c r="P30" s="118"/>
    </row>
    <row r="31" spans="2:16" ht="36" customHeight="1" x14ac:dyDescent="0.25">
      <c r="B31" s="93"/>
      <c r="C31" s="751"/>
      <c r="D31" s="752"/>
      <c r="E31" s="752"/>
      <c r="F31" s="752"/>
      <c r="G31" s="752"/>
      <c r="H31" s="752"/>
      <c r="I31" s="753"/>
      <c r="J31" s="206"/>
      <c r="K31" s="131"/>
      <c r="L31" s="227">
        <f>J31*K31</f>
        <v>0</v>
      </c>
      <c r="M31" s="9">
        <f>IF(menu!$U$7=FALSE,0,IF(AND(menu!$U$7=TRUE,L31=0),0,IF(AND(L31&gt;0,OR(C31="",LEFT(C31,3)="Bsp")),1,0)))</f>
        <v>0</v>
      </c>
      <c r="N31" s="99"/>
    </row>
    <row r="32" spans="2:16" ht="36" customHeight="1" x14ac:dyDescent="0.25">
      <c r="B32" s="93"/>
      <c r="C32" s="751"/>
      <c r="D32" s="752"/>
      <c r="E32" s="752"/>
      <c r="F32" s="752"/>
      <c r="G32" s="752"/>
      <c r="H32" s="752"/>
      <c r="I32" s="753"/>
      <c r="J32" s="206"/>
      <c r="K32" s="131"/>
      <c r="L32" s="227">
        <f t="shared" ref="L32" si="1">J32*K32</f>
        <v>0</v>
      </c>
      <c r="M32" s="9">
        <f>IF(menu!$U$7=FALSE,0,IF(AND(menu!$U$7=TRUE,L32=0),0,IF(AND(L32&gt;0,OR(C32="",LEFT(C32,3)="Bsp")),1,0)))</f>
        <v>0</v>
      </c>
      <c r="N32" s="99"/>
    </row>
    <row r="33" spans="2:27" ht="36" customHeight="1" x14ac:dyDescent="0.25">
      <c r="B33" s="93"/>
      <c r="C33" s="751"/>
      <c r="D33" s="752"/>
      <c r="E33" s="752"/>
      <c r="F33" s="752"/>
      <c r="G33" s="752"/>
      <c r="H33" s="752"/>
      <c r="I33" s="753"/>
      <c r="J33" s="206"/>
      <c r="K33" s="131"/>
      <c r="L33" s="227">
        <f t="shared" ref="L33:L37" si="2">J33*K33</f>
        <v>0</v>
      </c>
      <c r="M33" s="9">
        <f>IF(menu!$U$7=FALSE,0,IF(AND(menu!$U$7=TRUE,L33=0),0,IF(AND(L33&gt;0,OR(C33="",LEFT(C33,3)="Bsp")),1,0)))</f>
        <v>0</v>
      </c>
      <c r="N33" s="99"/>
    </row>
    <row r="34" spans="2:27" ht="36" customHeight="1" x14ac:dyDescent="0.25">
      <c r="B34" s="93"/>
      <c r="C34" s="751"/>
      <c r="D34" s="752"/>
      <c r="E34" s="752"/>
      <c r="F34" s="752"/>
      <c r="G34" s="752"/>
      <c r="H34" s="752"/>
      <c r="I34" s="753"/>
      <c r="J34" s="206"/>
      <c r="K34" s="131"/>
      <c r="L34" s="227">
        <f t="shared" ref="L34" si="3">J34*K34</f>
        <v>0</v>
      </c>
      <c r="M34" s="9">
        <f>IF(menu!$U$7=FALSE,0,IF(AND(menu!$U$7=TRUE,L34=0),0,IF(AND(L34&gt;0,OR(C34="",LEFT(C34,3)="Bsp")),1,0)))</f>
        <v>0</v>
      </c>
      <c r="N34" s="99"/>
    </row>
    <row r="35" spans="2:27" ht="36" customHeight="1" x14ac:dyDescent="0.25">
      <c r="B35" s="93"/>
      <c r="C35" s="751"/>
      <c r="D35" s="752"/>
      <c r="E35" s="752"/>
      <c r="F35" s="752"/>
      <c r="G35" s="752"/>
      <c r="H35" s="752"/>
      <c r="I35" s="753"/>
      <c r="J35" s="206"/>
      <c r="K35" s="131"/>
      <c r="L35" s="227">
        <f t="shared" ref="L35:L36" si="4">J35*K35</f>
        <v>0</v>
      </c>
      <c r="M35" s="9">
        <f>IF(menu!$U$7=FALSE,0,IF(AND(menu!$U$7=TRUE,L35=0),0,IF(AND(L35&gt;0,OR(C35="",LEFT(C35,3)="Bsp")),1,0)))</f>
        <v>0</v>
      </c>
      <c r="N35" s="99"/>
    </row>
    <row r="36" spans="2:27" ht="36" customHeight="1" x14ac:dyDescent="0.25">
      <c r="B36" s="93"/>
      <c r="C36" s="751"/>
      <c r="D36" s="752"/>
      <c r="E36" s="752"/>
      <c r="F36" s="752"/>
      <c r="G36" s="752"/>
      <c r="H36" s="752"/>
      <c r="I36" s="753"/>
      <c r="J36" s="206"/>
      <c r="K36" s="131"/>
      <c r="L36" s="227">
        <f t="shared" si="4"/>
        <v>0</v>
      </c>
      <c r="M36" s="9">
        <f>IF(menu!$U$7=FALSE,0,IF(AND(menu!$U$7=TRUE,L36=0),0,IF(AND(L36&gt;0,OR(C36="",LEFT(C36,3)="Bsp")),1,0)))</f>
        <v>0</v>
      </c>
      <c r="N36" s="99"/>
    </row>
    <row r="37" spans="2:27" ht="36" customHeight="1" thickBot="1" x14ac:dyDescent="0.3">
      <c r="B37" s="93"/>
      <c r="C37" s="768"/>
      <c r="D37" s="769"/>
      <c r="E37" s="769"/>
      <c r="F37" s="769"/>
      <c r="G37" s="769"/>
      <c r="H37" s="769"/>
      <c r="I37" s="770"/>
      <c r="J37" s="206"/>
      <c r="K37" s="131"/>
      <c r="L37" s="227">
        <f t="shared" si="2"/>
        <v>0</v>
      </c>
      <c r="M37" s="9">
        <f>IF(menu!$U$7=FALSE,0,IF(AND(menu!$U$7=TRUE,L37=0),0,IF(AND(L37&gt;0,OR(C37="",LEFT(C37,3)="Bsp")),1,0)))</f>
        <v>0</v>
      </c>
      <c r="N37" s="99"/>
      <c r="P37" s="792"/>
      <c r="Q37" s="792"/>
      <c r="R37" s="792"/>
      <c r="S37" s="792"/>
      <c r="T37" s="792"/>
      <c r="U37" s="792"/>
      <c r="V37" s="792"/>
      <c r="W37" s="792"/>
      <c r="X37" s="792"/>
      <c r="Y37" s="792"/>
      <c r="Z37" s="792"/>
      <c r="AA37" s="792"/>
    </row>
    <row r="38" spans="2:27" ht="12" thickBot="1" x14ac:dyDescent="0.3">
      <c r="C38" s="119"/>
      <c r="D38" s="119"/>
      <c r="E38" s="799"/>
      <c r="F38" s="799"/>
      <c r="G38" s="799"/>
      <c r="H38" s="174"/>
      <c r="I38" s="174"/>
      <c r="J38" s="120"/>
      <c r="K38" s="176" t="s">
        <v>17</v>
      </c>
      <c r="L38" s="117">
        <f>SUM(L31:L37)</f>
        <v>0</v>
      </c>
    </row>
    <row r="39" spans="2:27" ht="6" customHeight="1" x14ac:dyDescent="0.25">
      <c r="E39" s="99"/>
      <c r="F39" s="99"/>
      <c r="G39" s="99"/>
      <c r="H39" s="99"/>
      <c r="I39" s="99"/>
      <c r="J39" s="99"/>
      <c r="K39" s="122"/>
      <c r="L39" s="123"/>
    </row>
    <row r="40" spans="2:27" ht="15" customHeight="1" thickBot="1" x14ac:dyDescent="0.3">
      <c r="C40" s="764" t="s">
        <v>557</v>
      </c>
      <c r="D40" s="764"/>
      <c r="E40" s="764"/>
      <c r="F40" s="764"/>
      <c r="G40" s="764"/>
      <c r="H40" s="764"/>
      <c r="I40" s="764"/>
      <c r="J40" s="764"/>
      <c r="K40" s="764"/>
      <c r="L40" s="764"/>
    </row>
    <row r="41" spans="2:27" ht="15" customHeight="1" x14ac:dyDescent="0.25">
      <c r="B41" s="93"/>
      <c r="C41" s="783" t="s">
        <v>19</v>
      </c>
      <c r="D41" s="791"/>
      <c r="E41" s="791"/>
      <c r="F41" s="791"/>
      <c r="G41" s="791"/>
      <c r="H41" s="791"/>
      <c r="I41" s="784"/>
      <c r="J41" s="102" t="s">
        <v>214</v>
      </c>
      <c r="K41" s="200" t="s">
        <v>215</v>
      </c>
      <c r="L41" s="110" t="s">
        <v>11</v>
      </c>
    </row>
    <row r="42" spans="2:27" ht="36" customHeight="1" x14ac:dyDescent="0.25">
      <c r="B42" s="93"/>
      <c r="C42" s="751" t="s">
        <v>558</v>
      </c>
      <c r="D42" s="752"/>
      <c r="E42" s="752"/>
      <c r="F42" s="752"/>
      <c r="G42" s="752"/>
      <c r="H42" s="752"/>
      <c r="I42" s="753"/>
      <c r="J42" s="206"/>
      <c r="K42" s="131"/>
      <c r="L42" s="201">
        <f>J42*K42</f>
        <v>0</v>
      </c>
      <c r="M42" s="9">
        <f>IF(menu!$U$7=FALSE,0,IF(AND(menu!$U$7=TRUE,L42=0),0,IF(AND(L42&gt;0,OR(C42="",LEFT(C42,3)="Bsp")),1,0)))</f>
        <v>0</v>
      </c>
      <c r="P42" s="385"/>
    </row>
    <row r="43" spans="2:27" ht="36" customHeight="1" thickBot="1" x14ac:dyDescent="0.3">
      <c r="B43" s="93"/>
      <c r="C43" s="751"/>
      <c r="D43" s="752"/>
      <c r="E43" s="752"/>
      <c r="F43" s="752"/>
      <c r="G43" s="752"/>
      <c r="H43" s="752"/>
      <c r="I43" s="753"/>
      <c r="J43" s="206"/>
      <c r="K43" s="131"/>
      <c r="L43" s="201">
        <f>J43*K43</f>
        <v>0</v>
      </c>
      <c r="M43" s="9">
        <f>IF(menu!$U$7=FALSE,0,IF(AND(menu!$U$7=TRUE,L43=0),0,IF(AND(L43&gt;0,OR(C43="",LEFT(C43,3)="Bsp")),1,0)))</f>
        <v>0</v>
      </c>
      <c r="P43" s="385"/>
    </row>
    <row r="44" spans="2:27" ht="12" thickBot="1" x14ac:dyDescent="0.3">
      <c r="C44" s="119"/>
      <c r="D44" s="119"/>
      <c r="E44" s="95"/>
      <c r="F44" s="95"/>
      <c r="G44" s="95"/>
      <c r="H44" s="95"/>
      <c r="I44" s="95"/>
      <c r="J44" s="96"/>
      <c r="K44" s="121" t="s">
        <v>17</v>
      </c>
      <c r="L44" s="117">
        <f>SUM(L42:L43)</f>
        <v>0</v>
      </c>
    </row>
    <row r="45" spans="2:27" ht="6" customHeight="1" x14ac:dyDescent="0.25">
      <c r="E45" s="99"/>
      <c r="F45" s="99"/>
      <c r="G45" s="99"/>
      <c r="H45" s="99"/>
      <c r="I45" s="99"/>
      <c r="J45" s="99"/>
      <c r="K45" s="122"/>
      <c r="L45" s="123"/>
    </row>
    <row r="46" spans="2:27" ht="15" customHeight="1" thickBot="1" x14ac:dyDescent="0.3">
      <c r="C46" s="764" t="s">
        <v>581</v>
      </c>
      <c r="D46" s="764"/>
      <c r="E46" s="764"/>
      <c r="F46" s="764"/>
      <c r="G46" s="764"/>
      <c r="H46" s="764"/>
      <c r="I46" s="764"/>
      <c r="J46" s="764"/>
      <c r="K46" s="764"/>
      <c r="L46" s="764"/>
    </row>
    <row r="47" spans="2:27" ht="15" customHeight="1" x14ac:dyDescent="0.25">
      <c r="B47" s="93"/>
      <c r="C47" s="783" t="s">
        <v>19</v>
      </c>
      <c r="D47" s="791"/>
      <c r="E47" s="791"/>
      <c r="F47" s="791"/>
      <c r="G47" s="791"/>
      <c r="H47" s="791"/>
      <c r="I47" s="784"/>
      <c r="J47" s="102" t="s">
        <v>214</v>
      </c>
      <c r="K47" s="200" t="s">
        <v>215</v>
      </c>
      <c r="L47" s="110" t="s">
        <v>11</v>
      </c>
    </row>
    <row r="48" spans="2:27" ht="36" customHeight="1" thickBot="1" x14ac:dyDescent="0.3">
      <c r="B48" s="93"/>
      <c r="C48" s="751"/>
      <c r="D48" s="752"/>
      <c r="E48" s="752"/>
      <c r="F48" s="752"/>
      <c r="G48" s="752"/>
      <c r="H48" s="752"/>
      <c r="I48" s="753"/>
      <c r="J48" s="206"/>
      <c r="K48" s="131"/>
      <c r="L48" s="201">
        <f>J48*K48</f>
        <v>0</v>
      </c>
      <c r="M48" s="9">
        <f>IF(menu!$U$7=FALSE,0,IF(AND(menu!$U$7=TRUE,L48=0),0,IF(AND(L48&gt;0,OR(C48="",LEFT(C48,3)="Bsp")),1,IF(K48&gt;2500,0.5,IF(K48&lt;=800,1,0)))))</f>
        <v>0</v>
      </c>
      <c r="P48" s="385"/>
    </row>
    <row r="49" spans="3:16" ht="12" thickBot="1" x14ac:dyDescent="0.3">
      <c r="C49" s="411" t="str">
        <f>IF(M48=0.5,"Bitte erläutern Sie den vergleichsweise hohen Stückpreis im Tabellenblatt 'Anmerkungen'","")</f>
        <v/>
      </c>
      <c r="D49" s="119"/>
      <c r="E49" s="410"/>
      <c r="F49" s="95"/>
      <c r="G49" s="95"/>
      <c r="H49" s="95"/>
      <c r="I49" s="95"/>
      <c r="J49" s="96"/>
      <c r="K49" s="121" t="s">
        <v>17</v>
      </c>
      <c r="L49" s="117">
        <f>SUM(L48:L48)</f>
        <v>0</v>
      </c>
    </row>
    <row r="50" spans="3:16" ht="6" customHeight="1" x14ac:dyDescent="0.25">
      <c r="C50" s="124"/>
      <c r="D50" s="124"/>
      <c r="E50" s="125"/>
      <c r="F50" s="125"/>
      <c r="G50" s="125"/>
      <c r="H50" s="125"/>
      <c r="I50" s="125"/>
      <c r="J50" s="125"/>
      <c r="K50" s="126"/>
      <c r="L50" s="127"/>
    </row>
    <row r="51" spans="3:16" ht="15" customHeight="1" x14ac:dyDescent="0.25">
      <c r="C51" s="761" t="s">
        <v>354</v>
      </c>
      <c r="D51" s="762"/>
      <c r="E51" s="762"/>
      <c r="F51" s="762"/>
      <c r="G51" s="762"/>
      <c r="H51" s="762"/>
      <c r="I51" s="762"/>
      <c r="J51" s="762"/>
      <c r="K51" s="762"/>
      <c r="L51" s="763"/>
    </row>
    <row r="52" spans="3:16" ht="6" customHeight="1" x14ac:dyDescent="0.25">
      <c r="C52" s="107"/>
      <c r="D52" s="107"/>
      <c r="E52" s="107"/>
      <c r="F52" s="107"/>
      <c r="G52" s="107"/>
      <c r="H52" s="107"/>
      <c r="I52" s="107"/>
      <c r="J52" s="107"/>
      <c r="K52" s="107"/>
      <c r="L52" s="123"/>
      <c r="M52" s="13"/>
    </row>
    <row r="53" spans="3:16" ht="12" thickBot="1" x14ac:dyDescent="0.3">
      <c r="C53" s="805" t="s">
        <v>96</v>
      </c>
      <c r="D53" s="805"/>
      <c r="E53" s="805"/>
      <c r="F53" s="805"/>
      <c r="G53" s="805"/>
      <c r="H53" s="805"/>
      <c r="I53" s="805"/>
      <c r="J53" s="805"/>
      <c r="K53" s="805"/>
      <c r="L53" s="805"/>
      <c r="M53" s="129"/>
      <c r="N53" s="129"/>
      <c r="O53" s="129"/>
      <c r="P53" s="129"/>
    </row>
    <row r="54" spans="3:16" ht="15" customHeight="1" x14ac:dyDescent="0.25">
      <c r="C54" s="783" t="s">
        <v>18</v>
      </c>
      <c r="D54" s="784"/>
      <c r="E54" s="101" t="s">
        <v>32</v>
      </c>
      <c r="F54" s="102" t="str">
        <f>Personal!E50</f>
        <v>Projektjahr 1</v>
      </c>
      <c r="G54" s="103" t="str">
        <f>Personal!F50</f>
        <v>Projektjahr 2</v>
      </c>
      <c r="H54" s="103" t="str">
        <f>Personal!G50</f>
        <v>Projektjahr 3</v>
      </c>
      <c r="I54" s="789" t="str">
        <f>Personal!H50</f>
        <v>Projektjahr 4</v>
      </c>
      <c r="J54" s="790"/>
      <c r="K54" s="104" t="s">
        <v>6</v>
      </c>
      <c r="L54" s="76" t="s">
        <v>90</v>
      </c>
      <c r="M54" s="9">
        <f>G6</f>
        <v>0</v>
      </c>
    </row>
    <row r="55" spans="3:16" ht="15" customHeight="1" x14ac:dyDescent="0.25">
      <c r="C55" s="779" t="s">
        <v>40</v>
      </c>
      <c r="D55" s="780"/>
      <c r="E55" s="130" t="str">
        <f>LEFT(C18,19)</f>
        <v xml:space="preserve">Gegenstände &lt; 800€ </v>
      </c>
      <c r="F55" s="74"/>
      <c r="G55" s="73"/>
      <c r="H55" s="73"/>
      <c r="I55" s="787"/>
      <c r="J55" s="788"/>
      <c r="K55" s="78">
        <f>L25</f>
        <v>0</v>
      </c>
      <c r="L55" s="83">
        <f>K55-SUM(F55:J55)</f>
        <v>0</v>
      </c>
      <c r="M55" s="9">
        <f>IF(AND(menu!$U$7=TRUE,L55&lt;&gt;0),1,0)</f>
        <v>0</v>
      </c>
    </row>
    <row r="56" spans="3:16" ht="15" customHeight="1" x14ac:dyDescent="0.25">
      <c r="C56" s="779" t="s">
        <v>100</v>
      </c>
      <c r="D56" s="780"/>
      <c r="E56" s="130" t="str">
        <f>LEFT(C29,21)</f>
        <v>Vergabe von Aufträgen</v>
      </c>
      <c r="F56" s="74"/>
      <c r="G56" s="73"/>
      <c r="H56" s="73"/>
      <c r="I56" s="787"/>
      <c r="J56" s="788"/>
      <c r="K56" s="79">
        <f>L38</f>
        <v>0</v>
      </c>
      <c r="L56" s="83">
        <f t="shared" ref="L56:L58" si="5">K56-SUM(F56:J56)</f>
        <v>0</v>
      </c>
      <c r="M56" s="9">
        <f>IF(AND(menu!$U$7=TRUE,L56&lt;&gt;0),1,0)</f>
        <v>0</v>
      </c>
    </row>
    <row r="57" spans="3:16" ht="15.75" customHeight="1" x14ac:dyDescent="0.25">
      <c r="C57" s="779" t="s">
        <v>41</v>
      </c>
      <c r="D57" s="780"/>
      <c r="E57" s="130" t="str">
        <f>LEFT(C40,16)</f>
        <v xml:space="preserve">Geschäftsbedarf </v>
      </c>
      <c r="F57" s="74"/>
      <c r="G57" s="73"/>
      <c r="H57" s="73"/>
      <c r="I57" s="787"/>
      <c r="J57" s="788"/>
      <c r="K57" s="79">
        <f>L44</f>
        <v>0</v>
      </c>
      <c r="L57" s="83">
        <f t="shared" ref="L57" si="6">K57-SUM(F57:J57)</f>
        <v>0</v>
      </c>
      <c r="M57" s="9">
        <f>IF(AND(menu!$U$7=TRUE,L57&lt;&gt;0),1,0)</f>
        <v>0</v>
      </c>
    </row>
    <row r="58" spans="3:16" ht="15.75" customHeight="1" thickBot="1" x14ac:dyDescent="0.3">
      <c r="C58" s="785" t="s">
        <v>101</v>
      </c>
      <c r="D58" s="786"/>
      <c r="E58" s="400" t="str">
        <f>LEFT(C46,19)</f>
        <v xml:space="preserve">Gegenstände &gt; 800€ </v>
      </c>
      <c r="F58" s="401"/>
      <c r="G58" s="402"/>
      <c r="H58" s="402"/>
      <c r="I58" s="781"/>
      <c r="J58" s="782"/>
      <c r="K58" s="399">
        <f>L49</f>
        <v>0</v>
      </c>
      <c r="L58" s="83">
        <f t="shared" si="5"/>
        <v>0</v>
      </c>
      <c r="M58" s="9">
        <f>IF(AND(menu!$U$7=TRUE,L58&lt;&gt;0),1,0)</f>
        <v>0</v>
      </c>
    </row>
    <row r="59" spans="3:16" ht="6" customHeight="1" x14ac:dyDescent="0.25"/>
    <row r="60" spans="3:16" ht="12.75" customHeight="1" x14ac:dyDescent="0.25">
      <c r="C60" s="722" t="s">
        <v>183</v>
      </c>
      <c r="D60" s="722"/>
      <c r="E60" s="722"/>
      <c r="F60" s="722"/>
      <c r="G60" s="722"/>
      <c r="H60" s="722"/>
      <c r="I60" s="722"/>
      <c r="J60" s="722"/>
      <c r="K60" s="722"/>
      <c r="L60" s="722"/>
      <c r="M60" s="722"/>
      <c r="N60" s="190"/>
    </row>
    <row r="61" spans="3:16" ht="21" customHeight="1" x14ac:dyDescent="0.25">
      <c r="C61" s="718" t="str">
        <f>Basisdaten!C46</f>
        <v>Vorhabenbeschreibung 
4.1.10 a): Erstellung eines 
Fokuskonzeptes 2509_V3</v>
      </c>
      <c r="D61" s="719"/>
      <c r="E61" s="719"/>
      <c r="F61" s="719"/>
      <c r="G61" s="719"/>
      <c r="H61" s="719"/>
      <c r="I61" s="719"/>
      <c r="J61" s="719"/>
      <c r="K61" s="719"/>
      <c r="L61" s="719"/>
    </row>
  </sheetData>
  <sheetProtection selectLockedCells="1"/>
  <customSheetViews>
    <customSheetView guid="{68ABA936-E0C3-4F62-AA1D-4FD1F5462098}" showPageBreaks="1" showGridLines="0" showRowCol="0" fitToPage="1" printArea="1" view="pageBreakPreview">
      <selection activeCell="C14" sqref="C14:I14"/>
      <pageMargins left="0.39370078740157483" right="0.39370078740157483" top="0.39370078740157483" bottom="0.39370078740157483" header="0" footer="0"/>
      <printOptions horizontalCentered="1"/>
      <pageSetup paperSize="9" scale="71" orientation="portrait" r:id="rId1"/>
    </customSheetView>
  </customSheetViews>
  <mergeCells count="47">
    <mergeCell ref="C43:I43"/>
    <mergeCell ref="C40:L40"/>
    <mergeCell ref="C41:I41"/>
    <mergeCell ref="C42:I42"/>
    <mergeCell ref="C57:D57"/>
    <mergeCell ref="I57:J57"/>
    <mergeCell ref="C51:L51"/>
    <mergeCell ref="C47:I47"/>
    <mergeCell ref="C48:I48"/>
    <mergeCell ref="C53:L53"/>
    <mergeCell ref="P37:AA37"/>
    <mergeCell ref="C30:I30"/>
    <mergeCell ref="C46:L46"/>
    <mergeCell ref="C13:L13"/>
    <mergeCell ref="C29:L29"/>
    <mergeCell ref="E38:G38"/>
    <mergeCell ref="C27:L27"/>
    <mergeCell ref="C23:I23"/>
    <mergeCell ref="C24:I24"/>
    <mergeCell ref="C31:I31"/>
    <mergeCell ref="C37:I37"/>
    <mergeCell ref="C35:I35"/>
    <mergeCell ref="C32:I32"/>
    <mergeCell ref="C33:I33"/>
    <mergeCell ref="C34:I34"/>
    <mergeCell ref="C14:L14"/>
    <mergeCell ref="C36:I36"/>
    <mergeCell ref="C3:G4"/>
    <mergeCell ref="C18:L18"/>
    <mergeCell ref="C19:I19"/>
    <mergeCell ref="C20:I20"/>
    <mergeCell ref="C22:I22"/>
    <mergeCell ref="C21:I21"/>
    <mergeCell ref="C12:L12"/>
    <mergeCell ref="C10:L10"/>
    <mergeCell ref="C9:L9"/>
    <mergeCell ref="C16:L16"/>
    <mergeCell ref="C61:L61"/>
    <mergeCell ref="C55:D55"/>
    <mergeCell ref="I58:J58"/>
    <mergeCell ref="C54:D54"/>
    <mergeCell ref="C56:D56"/>
    <mergeCell ref="C58:D58"/>
    <mergeCell ref="C60:M60"/>
    <mergeCell ref="I56:J56"/>
    <mergeCell ref="I54:J54"/>
    <mergeCell ref="I55:J55"/>
  </mergeCells>
  <conditionalFormatting sqref="C20:C24 C48">
    <cfRule type="expression" dxfId="236" priority="269">
      <formula>AND(L20&gt;0,C20="")</formula>
    </cfRule>
  </conditionalFormatting>
  <conditionalFormatting sqref="C20:C24">
    <cfRule type="expression" dxfId="235" priority="129">
      <formula>AND(L20&gt;0,C20="")</formula>
    </cfRule>
    <cfRule type="expression" dxfId="234" priority="128">
      <formula>AND(C20&lt;&gt;"",L20&lt;&gt;0,LEFT(C20,3)&lt;&gt;"Bsp")</formula>
    </cfRule>
    <cfRule type="expression" dxfId="233" priority="130">
      <formula>LEFT(C20,3)="Bsp"</formula>
    </cfRule>
  </conditionalFormatting>
  <conditionalFormatting sqref="C31">
    <cfRule type="expression" dxfId="232" priority="173">
      <formula>AND(C31&lt;&gt;"",L31&lt;&gt;0,LEFT(C31,3)&lt;&gt;"Bsp")</formula>
    </cfRule>
    <cfRule type="expression" dxfId="231" priority="174">
      <formula>AND(L31&gt;0,C31="")</formula>
    </cfRule>
    <cfRule type="expression" dxfId="230" priority="189">
      <formula>LEFT(C31,3)="Bsp"</formula>
    </cfRule>
  </conditionalFormatting>
  <conditionalFormatting sqref="C32">
    <cfRule type="expression" dxfId="228" priority="79">
      <formula>AND(L32&gt;0,C32="")</formula>
    </cfRule>
    <cfRule type="expression" dxfId="227" priority="83">
      <formula>AND(L32&gt;0,C32=0)</formula>
    </cfRule>
    <cfRule type="expression" dxfId="226" priority="82">
      <formula>AND(C32&gt;0,E32&gt;0,L32&gt;0)</formula>
    </cfRule>
    <cfRule type="expression" dxfId="225" priority="78">
      <formula>AND(C32&lt;&gt;"",L32&lt;&gt;0,LEFT(C32,3)&lt;&gt;"Bsp")</formula>
    </cfRule>
    <cfRule type="expression" dxfId="224" priority="77">
      <formula>LEFT(C32,3)="Bsp"</formula>
    </cfRule>
  </conditionalFormatting>
  <conditionalFormatting sqref="C33">
    <cfRule type="expression" dxfId="223" priority="323">
      <formula>AND(L33&gt;0,C33=0)</formula>
    </cfRule>
    <cfRule type="expression" dxfId="222" priority="179">
      <formula>LEFT(C33,3)="Bsp"</formula>
    </cfRule>
    <cfRule type="expression" dxfId="221" priority="180">
      <formula>AND(C33&lt;&gt;"",L33&lt;&gt;0,LEFT(C33,3)&lt;&gt;"Bsp")</formula>
    </cfRule>
    <cfRule type="expression" dxfId="220" priority="181">
      <formula>AND(L33&gt;0,C33="")</formula>
    </cfRule>
    <cfRule type="expression" dxfId="219" priority="322">
      <formula>AND(C33&gt;0,E33&gt;0,L33&gt;0)</formula>
    </cfRule>
  </conditionalFormatting>
  <conditionalFormatting sqref="C34">
    <cfRule type="expression" dxfId="218" priority="62">
      <formula>LEFT(C34,3)="Bsp"</formula>
    </cfRule>
    <cfRule type="expression" dxfId="217" priority="63">
      <formula>AND(C34&lt;&gt;"",L34&lt;&gt;0,LEFT(C34,3)&lt;&gt;"Bsp")</formula>
    </cfRule>
    <cfRule type="expression" dxfId="216" priority="64">
      <formula>AND(L34&gt;0,C34="")</formula>
    </cfRule>
    <cfRule type="expression" dxfId="215" priority="68">
      <formula>AND(L34&gt;0,C34=0)</formula>
    </cfRule>
    <cfRule type="expression" dxfId="214" priority="67">
      <formula>AND(C34&gt;0,E34&gt;0,L34&gt;0)</formula>
    </cfRule>
  </conditionalFormatting>
  <conditionalFormatting sqref="C35:C36 C20:I24">
    <cfRule type="expression" dxfId="213" priority="268">
      <formula>AND(C20&lt;&gt;"",L20&lt;&gt;0,LEFT(C20,3)&lt;&gt;"Bsp")</formula>
    </cfRule>
  </conditionalFormatting>
  <conditionalFormatting sqref="C35:C37">
    <cfRule type="expression" dxfId="212" priority="157">
      <formula>LEFT(C35,3)="Bsp"</formula>
    </cfRule>
    <cfRule type="expression" dxfId="211" priority="159">
      <formula>AND(L35&gt;0,C35="")</formula>
    </cfRule>
  </conditionalFormatting>
  <conditionalFormatting sqref="C37">
    <cfRule type="expression" dxfId="210" priority="164">
      <formula>AND(L37&gt;0,C37=0)</formula>
    </cfRule>
    <cfRule type="expression" dxfId="209" priority="158">
      <formula>AND(C37&lt;&gt;"",L37&lt;&gt;0,LEFT(C37,3)&lt;&gt;"Bsp")</formula>
    </cfRule>
    <cfRule type="expression" dxfId="208" priority="163">
      <formula>AND(C37&gt;0,E37&gt;0,L37&gt;0)</formula>
    </cfRule>
    <cfRule type="expression" dxfId="207" priority="318">
      <formula>AND(C37&gt;0,E37&gt;0,L37&gt;0)</formula>
    </cfRule>
    <cfRule type="expression" dxfId="206" priority="319">
      <formula>AND(L37&gt;0,C37=0)</formula>
    </cfRule>
  </conditionalFormatting>
  <conditionalFormatting sqref="C42">
    <cfRule type="expression" dxfId="205" priority="18">
      <formula>AND(C42&lt;&gt;"",L42&lt;&gt;0,LEFT(C42,3)&lt;&gt;"Bsp")</formula>
    </cfRule>
    <cfRule type="expression" dxfId="204" priority="16">
      <formula>AND(L42&gt;0,C42="")</formula>
    </cfRule>
  </conditionalFormatting>
  <conditionalFormatting sqref="C42:C43">
    <cfRule type="expression" dxfId="203" priority="25">
      <formula>AND(L42&gt;0,C42="")</formula>
    </cfRule>
    <cfRule type="expression" dxfId="202" priority="17">
      <formula>LEFT(C42,3)="Bsp"</formula>
    </cfRule>
  </conditionalFormatting>
  <conditionalFormatting sqref="C43">
    <cfRule type="expression" dxfId="201" priority="33">
      <formula>AND(C43&lt;&gt;"",L43&lt;&gt;0,LEFT(C43,3)&lt;&gt;"Bsp")</formula>
    </cfRule>
    <cfRule type="expression" dxfId="200" priority="40">
      <formula>AND(L43&gt;0,C43="")</formula>
    </cfRule>
  </conditionalFormatting>
  <conditionalFormatting sqref="C48">
    <cfRule type="expression" dxfId="199" priority="120">
      <formula>AND(C48&lt;&gt;"",L48&lt;&gt;0,LEFT(C48,3)&lt;&gt;"Bsp")</formula>
    </cfRule>
    <cfRule type="expression" dxfId="198" priority="118">
      <formula>AND(L48&gt;0,C48="")</formula>
    </cfRule>
    <cfRule type="expression" dxfId="197" priority="119">
      <formula>LEFT(C48,3)="Bsp"</formula>
    </cfRule>
  </conditionalFormatting>
  <conditionalFormatting sqref="F55:J55">
    <cfRule type="expression" dxfId="188" priority="377">
      <formula>AND($L$55=0,$K$55&lt;&gt;0)</formula>
    </cfRule>
    <cfRule type="expression" dxfId="187" priority="404">
      <formula>$L$55&lt;&gt;0</formula>
    </cfRule>
  </conditionalFormatting>
  <conditionalFormatting sqref="F56:J56">
    <cfRule type="expression" dxfId="186" priority="375">
      <formula>$L$56&lt;&gt;0</formula>
    </cfRule>
    <cfRule type="expression" dxfId="185" priority="408">
      <formula>AND($L$56=0,$K$56&lt;&gt;0)</formula>
    </cfRule>
  </conditionalFormatting>
  <conditionalFormatting sqref="F57:J57">
    <cfRule type="expression" dxfId="184" priority="14">
      <formula>AND($L$57=0,$K$57&lt;&gt;0)</formula>
    </cfRule>
    <cfRule type="expression" dxfId="183" priority="8">
      <formula>$L$57&lt;&gt;0</formula>
    </cfRule>
  </conditionalFormatting>
  <conditionalFormatting sqref="F58:J58">
    <cfRule type="expression" dxfId="182" priority="410">
      <formula>AND($L$58=0,$K$58&lt;&gt;0)</formula>
    </cfRule>
    <cfRule type="expression" dxfId="181" priority="374">
      <formula>$L$58&lt;&gt;0</formula>
    </cfRule>
  </conditionalFormatting>
  <conditionalFormatting sqref="J20:J24">
    <cfRule type="expression" dxfId="180" priority="135">
      <formula>AND(C20&lt;&gt;"",L20&lt;&gt;0,LEFT(C20,3)&lt;&gt;"Bsp",J20&gt;0)</formula>
    </cfRule>
  </conditionalFormatting>
  <conditionalFormatting sqref="J31">
    <cfRule type="expression" dxfId="179" priority="140">
      <formula>AND(C31&lt;&gt;"",L31&lt;&gt;0,LEFT(C31,3)&lt;&gt;"Bsp",J31&gt;0)</formula>
    </cfRule>
  </conditionalFormatting>
  <conditionalFormatting sqref="J32">
    <cfRule type="expression" dxfId="178" priority="75">
      <formula>AND(C32&lt;&gt;"",L32&lt;&gt;0,LEFT(C32,3)&lt;&gt;"Bsp",J32&gt;0)</formula>
    </cfRule>
    <cfRule type="expression" dxfId="177" priority="76">
      <formula>J32&lt;&gt;""</formula>
    </cfRule>
  </conditionalFormatting>
  <conditionalFormatting sqref="J33 J35:J37 J48">
    <cfRule type="expression" dxfId="176" priority="147">
      <formula>AND(C33&lt;&gt;"",L33&lt;&gt;0,LEFT(C33,3)&lt;&gt;"Bsp",J33&gt;0)</formula>
    </cfRule>
  </conditionalFormatting>
  <conditionalFormatting sqref="J33 J35:K37">
    <cfRule type="expression" dxfId="175" priority="177">
      <formula>J33&lt;&gt;""</formula>
    </cfRule>
  </conditionalFormatting>
  <conditionalFormatting sqref="J34">
    <cfRule type="expression" dxfId="173" priority="61">
      <formula>J34&lt;&gt;""</formula>
    </cfRule>
    <cfRule type="expression" dxfId="172" priority="60">
      <formula>AND(C34&lt;&gt;"",L34&lt;&gt;0,LEFT(C34,3)&lt;&gt;"Bsp",J34&gt;0)</formula>
    </cfRule>
  </conditionalFormatting>
  <conditionalFormatting sqref="J42:J43">
    <cfRule type="expression" dxfId="171" priority="23">
      <formula>AND(C42&lt;&gt;"",L42&lt;&gt;0,LEFT(C42,3)&lt;&gt;"Bsp",J42&gt;0)</formula>
    </cfRule>
  </conditionalFormatting>
  <conditionalFormatting sqref="J20:K24">
    <cfRule type="expression" dxfId="170" priority="134">
      <formula>J20&lt;&gt;""</formula>
    </cfRule>
  </conditionalFormatting>
  <conditionalFormatting sqref="J31:K31">
    <cfRule type="expression" dxfId="169" priority="142">
      <formula>J31&lt;&gt;""</formula>
    </cfRule>
  </conditionalFormatting>
  <conditionalFormatting sqref="J42:K43">
    <cfRule type="expression" dxfId="168" priority="19">
      <formula>J42&lt;&gt;""</formula>
    </cfRule>
    <cfRule type="expression" dxfId="167" priority="28">
      <formula>AND(T42&gt;0,J42="")</formula>
    </cfRule>
    <cfRule type="expression" dxfId="166" priority="27">
      <formula>LEFT(J42,3)="Bsp"</formula>
    </cfRule>
  </conditionalFormatting>
  <conditionalFormatting sqref="J48:K48">
    <cfRule type="expression" dxfId="165" priority="124">
      <formula>J48&lt;&gt;""</formula>
    </cfRule>
  </conditionalFormatting>
  <conditionalFormatting sqref="K20:K24 K35:K37 K48">
    <cfRule type="expression" dxfId="164" priority="146">
      <formula>AND(C20&lt;&gt;"",L20&lt;&gt;0,LEFT(C20,3)&lt;&gt;"Bsp",K20&gt;0)</formula>
    </cfRule>
  </conditionalFormatting>
  <conditionalFormatting sqref="K20:K24">
    <cfRule type="expression" dxfId="163" priority="132">
      <formula>LEFT(K20,3)="Bsp"</formula>
    </cfRule>
    <cfRule type="expression" dxfId="162" priority="133">
      <formula>AND(U20&gt;0,K20="")</formula>
    </cfRule>
    <cfRule type="expression" dxfId="161" priority="131">
      <formula>AND(C20&lt;&gt;"",L20&lt;&gt;0,LEFT(C20,3)&lt;&gt;"Bsp",K20&gt;0)</formula>
    </cfRule>
  </conditionalFormatting>
  <conditionalFormatting sqref="K31">
    <cfRule type="expression" dxfId="160" priority="137">
      <formula>AND(C31&lt;&gt;"",L31&lt;&gt;0,LEFT(C31,3)&lt;&gt;"Bsp",K31&gt;0)</formula>
    </cfRule>
    <cfRule type="expression" dxfId="159" priority="139">
      <formula>AND(U31&gt;0,K31="")</formula>
    </cfRule>
    <cfRule type="expression" dxfId="158" priority="138">
      <formula>LEFT(K31,3)="Bsp"</formula>
    </cfRule>
  </conditionalFormatting>
  <conditionalFormatting sqref="K32:K34">
    <cfRule type="expression" dxfId="156" priority="55">
      <formula>AND(C32&lt;&gt;"",L32&lt;&gt;0,LEFT(C32,3)&lt;&gt;"Bsp",K32&gt;0)</formula>
    </cfRule>
    <cfRule type="expression" dxfId="155" priority="57">
      <formula>AND(U32&gt;0,K32="")</formula>
    </cfRule>
    <cfRule type="expression" dxfId="154" priority="56">
      <formula>LEFT(K32,3)="Bsp"</formula>
    </cfRule>
    <cfRule type="expression" dxfId="153" priority="58">
      <formula>K32&lt;&gt;""</formula>
    </cfRule>
  </conditionalFormatting>
  <conditionalFormatting sqref="K35:K37 J48:K48 K20:K24">
    <cfRule type="expression" dxfId="152" priority="1196">
      <formula>AND(T20&gt;0,J20="")</formula>
    </cfRule>
  </conditionalFormatting>
  <conditionalFormatting sqref="K35:K37 J48:K48">
    <cfRule type="expression" dxfId="151" priority="1195">
      <formula>LEFT(J35,3)="Bsp"</formula>
    </cfRule>
  </conditionalFormatting>
  <conditionalFormatting sqref="K42:K43">
    <cfRule type="expression" dxfId="150" priority="22">
      <formula>AND(C42&lt;&gt;"",L42&lt;&gt;0,LEFT(C42,3)&lt;&gt;"Bsp",K42&gt;0)</formula>
    </cfRule>
  </conditionalFormatting>
  <conditionalFormatting sqref="L20:L24">
    <cfRule type="expression" dxfId="149" priority="219">
      <formula>K20&gt;800</formula>
    </cfRule>
    <cfRule type="expression" dxfId="148" priority="220">
      <formula>AND(C20&lt;&gt;"",L20&lt;&gt;0,LEFT(C20,3)&lt;&gt;"Bsp")</formula>
    </cfRule>
  </conditionalFormatting>
  <conditionalFormatting sqref="L22">
    <cfRule type="expression" dxfId="147" priority="221">
      <formula>L22&gt;800</formula>
    </cfRule>
    <cfRule type="expression" dxfId="146" priority="222">
      <formula>AND(C22&lt;&gt;"",L22&lt;&gt;0,LEFT(C22,3)&lt;&gt;"Bsp")</formula>
    </cfRule>
  </conditionalFormatting>
  <conditionalFormatting sqref="L23">
    <cfRule type="expression" dxfId="145" priority="224">
      <formula>AND(C23&lt;&gt;"",L23&lt;&gt;0,LEFT(C23,3)&lt;&gt;"Bsp")</formula>
    </cfRule>
    <cfRule type="expression" dxfId="144" priority="223">
      <formula>L23&gt;410</formula>
    </cfRule>
  </conditionalFormatting>
  <conditionalFormatting sqref="L24">
    <cfRule type="expression" dxfId="143" priority="234">
      <formula>AND(C24&lt;&gt;"",L24&lt;&gt;0,LEFT(C24,3)&lt;&gt;"Bsp")</formula>
    </cfRule>
    <cfRule type="expression" dxfId="142" priority="225">
      <formula>L24&gt;800</formula>
    </cfRule>
  </conditionalFormatting>
  <conditionalFormatting sqref="L42:L43">
    <cfRule type="expression" dxfId="141" priority="26">
      <formula>AND(C42&lt;&gt;"",L42&lt;&gt;0,LEFT(C42,3)&lt;&gt;"Bsp")</formula>
    </cfRule>
  </conditionalFormatting>
  <conditionalFormatting sqref="L48">
    <cfRule type="expression" dxfId="140" priority="270">
      <formula>AND(C48&lt;&gt;"",L48&lt;&gt;0,LEFT(C48,3)&lt;&gt;"Bsp")</formula>
    </cfRule>
  </conditionalFormatting>
  <conditionalFormatting sqref="L54">
    <cfRule type="expression" dxfId="139" priority="403">
      <formula>SUM($L$55:$L$58)=0</formula>
    </cfRule>
  </conditionalFormatting>
  <conditionalFormatting sqref="L55:L56 L58">
    <cfRule type="expression" dxfId="138" priority="407">
      <formula>K55=0</formula>
    </cfRule>
    <cfRule type="expression" dxfId="137" priority="394">
      <formula>L55&lt;&gt;0</formula>
    </cfRule>
    <cfRule type="expression" dxfId="136" priority="406">
      <formula>L55=0</formula>
    </cfRule>
  </conditionalFormatting>
  <conditionalFormatting sqref="L56:L58">
    <cfRule type="expression" dxfId="135" priority="12">
      <formula>L56=0</formula>
    </cfRule>
  </conditionalFormatting>
  <conditionalFormatting sqref="L57">
    <cfRule type="expression" dxfId="134" priority="9">
      <formula>L57=0</formula>
    </cfRule>
    <cfRule type="expression" dxfId="133" priority="11">
      <formula>L57&lt;&gt;0</formula>
    </cfRule>
    <cfRule type="expression" dxfId="132" priority="13">
      <formula>K57=0</formula>
    </cfRule>
  </conditionalFormatting>
  <dataValidations count="6">
    <dataValidation type="decimal" operator="greaterThan" allowBlank="1" showInputMessage="1" showErrorMessage="1" sqref="F56:F58" xr:uid="{00000000-0002-0000-0C00-000000000000}">
      <formula1>0</formula1>
    </dataValidation>
    <dataValidation type="decimal" errorStyle="information" allowBlank="1" showInputMessage="1" showErrorMessage="1" errorTitle="Hinweis:" error="Die Höhe der Ausgaben scheint vergleichsweise hoch zu sein. Bitte erläutern Sie die Ausgaben im Tabellenbaltt &quot;Anmerkungen&quot;." sqref="K42:K43" xr:uid="{00000000-0002-0000-0C00-000001000000}">
      <formula1>0</formula1>
      <formula2>2500</formula2>
    </dataValidation>
    <dataValidation type="decimal" operator="greaterThanOrEqual" allowBlank="1" showInputMessage="1" showErrorMessage="1" sqref="F55" xr:uid="{00000000-0002-0000-0C00-000002000000}">
      <formula1>0</formula1>
    </dataValidation>
    <dataValidation operator="greaterThan" allowBlank="1" showInputMessage="1" showErrorMessage="1" sqref="L31:L37" xr:uid="{00000000-0002-0000-0C00-000003000000}"/>
    <dataValidation type="decimal" operator="lessThanOrEqual" allowBlank="1" showErrorMessage="1" errorTitle="Achtung:" error="Eingabe überschreitet maximal möglichen Stückpreis." sqref="K20:K24" xr:uid="{00000000-0002-0000-0C00-000004000000}">
      <formula1>800</formula1>
    </dataValidation>
    <dataValidation type="decimal" operator="greaterThanOrEqual" allowBlank="1" showErrorMessage="1" errorTitle="Achtung:" error="Der mindest-Stückpreis beträgt 800,00€." sqref="K48" xr:uid="{00000000-0002-0000-0C00-000005000000}">
      <formula1>800</formula1>
    </dataValidation>
  </dataValidations>
  <hyperlinks>
    <hyperlink ref="C14" r:id="rId2" xr:uid="{00000000-0004-0000-0C00-000000000000}"/>
  </hyperlinks>
  <printOptions horizontalCentered="1"/>
  <pageMargins left="0.39370078740157483" right="0.19685039370078741" top="0.19685039370078741" bottom="0.19685039370078741" header="0" footer="0"/>
  <pageSetup paperSize="9" scale="6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1272" r:id="rId6" name="Check Box 8">
              <controlPr defaultSize="0" autoFill="0" autoLine="0" autoPict="0">
                <anchor moveWithCells="1">
                  <from>
                    <xdr:col>1</xdr:col>
                    <xdr:colOff>146050</xdr:colOff>
                    <xdr:row>3</xdr:row>
                    <xdr:rowOff>165100</xdr:rowOff>
                  </from>
                  <to>
                    <xdr:col>4</xdr:col>
                    <xdr:colOff>95250</xdr:colOff>
                    <xdr:row>4</xdr:row>
                    <xdr:rowOff>133350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101E2BD1-370B-47E9-96B3-84F1DF9DA813}">
            <xm:f>menu!$U$7=FALSE</xm:f>
            <x14:dxf>
              <font>
                <color theme="0"/>
              </font>
              <fill>
                <patternFill>
                  <fgColor theme="0"/>
                  <bgColor theme="0"/>
                </patternFill>
              </fill>
              <border>
                <left/>
                <right/>
                <top/>
                <bottom/>
                <vertical/>
                <horizontal/>
              </border>
            </x14:dxf>
          </x14:cfRule>
          <xm:sqref>C16</xm:sqref>
        </x14:conditionalFormatting>
        <x14:conditionalFormatting xmlns:xm="http://schemas.microsoft.com/office/excel/2006/main">
          <x14:cfRule type="expression" priority="74" id="{B7422514-052E-4417-9166-762B54C6220A}">
            <xm:f>menu!$U$7=FALSE</xm:f>
            <x14:dxf>
              <font>
                <color theme="0"/>
              </font>
              <fill>
                <patternFill>
                  <fgColor theme="0"/>
                  <bgColor theme="0"/>
                </patternFill>
              </fill>
              <border>
                <left/>
                <right/>
                <top/>
                <bottom/>
                <vertical/>
                <horizontal/>
              </border>
            </x14:dxf>
          </x14:cfRule>
          <xm:sqref>C32 J32 L32:M32</xm:sqref>
        </x14:conditionalFormatting>
        <x14:conditionalFormatting xmlns:xm="http://schemas.microsoft.com/office/excel/2006/main">
          <x14:cfRule type="expression" priority="148" id="{F2325E11-2904-433C-A419-64A41580373F}">
            <xm:f>menu!$U$4=FALSE</xm:f>
            <x14:dxf>
              <font>
                <color theme="0"/>
              </font>
              <fill>
                <patternFill>
                  <fgColor theme="0"/>
                  <bgColor theme="0"/>
                </patternFill>
              </fill>
              <border>
                <left/>
                <right/>
                <top/>
                <bottom/>
                <vertical/>
                <horizontal/>
              </border>
            </x14:dxf>
          </x14:cfRule>
          <xm:sqref>C60</xm:sqref>
        </x14:conditionalFormatting>
        <x14:conditionalFormatting xmlns:xm="http://schemas.microsoft.com/office/excel/2006/main">
          <x14:cfRule type="expression" priority="141" id="{B942880E-FACF-4B66-9517-7139F647F13A}">
            <xm:f>menu!$U$7=FALSE</xm:f>
            <x14:dxf>
              <font>
                <color theme="0"/>
              </font>
              <fill>
                <patternFill>
                  <fgColor theme="0"/>
                  <bgColor theme="0"/>
                </patternFill>
              </fill>
              <border>
                <left/>
                <right/>
                <top/>
                <bottom/>
                <vertical/>
                <horizontal/>
              </border>
            </x14:dxf>
          </x14:cfRule>
          <xm:sqref>C12:L12</xm:sqref>
        </x14:conditionalFormatting>
        <x14:conditionalFormatting xmlns:xm="http://schemas.microsoft.com/office/excel/2006/main">
          <x14:cfRule type="expression" priority="48" id="{67E1C1F5-9F5C-471C-8101-3F193E630024}">
            <xm:f>menu!$U$9=FALSE</xm:f>
            <x14:dxf>
              <font>
                <color theme="0"/>
              </font>
              <fill>
                <patternFill>
                  <fgColor theme="0"/>
                  <bgColor theme="0"/>
                </patternFill>
              </fill>
              <border>
                <left/>
                <right/>
                <top/>
                <bottom/>
                <vertical/>
                <horizontal/>
              </border>
            </x14:dxf>
          </x14:cfRule>
          <xm:sqref>C51:L51</xm:sqref>
        </x14:conditionalFormatting>
        <x14:conditionalFormatting xmlns:xm="http://schemas.microsoft.com/office/excel/2006/main">
          <x14:cfRule type="expression" priority="117" id="{D0C6871E-C430-4202-A7D3-0FDCAD8E8603}">
            <xm:f>menu!$U$7=FALSE</xm:f>
            <x14:dxf>
              <font>
                <color theme="0"/>
              </font>
              <fill>
                <patternFill>
                  <fgColor theme="0"/>
                  <bgColor theme="0"/>
                </patternFill>
              </fill>
              <border>
                <left/>
                <right/>
                <top/>
                <bottom/>
                <vertical/>
                <horizontal/>
              </border>
            </x14:dxf>
          </x14:cfRule>
          <xm:sqref>C6:M61 I3:L5</xm:sqref>
        </x14:conditionalFormatting>
        <x14:conditionalFormatting xmlns:xm="http://schemas.microsoft.com/office/excel/2006/main">
          <x14:cfRule type="expression" priority="46" id="{E54C0E3F-918B-4DFC-9827-E5A63614A7C8}">
            <xm:f>menu!$U$7=FALSE</xm:f>
            <x14:dxf>
              <font>
                <color theme="0"/>
              </font>
              <fill>
                <patternFill>
                  <fgColor theme="0"/>
                  <bgColor theme="0"/>
                </patternFill>
              </fill>
              <border>
                <left/>
                <right/>
                <top/>
                <bottom/>
                <vertical/>
                <horizontal/>
              </border>
            </x14:dxf>
          </x14:cfRule>
          <xm:sqref>C9:M9</xm:sqref>
        </x14:conditionalFormatting>
        <x14:conditionalFormatting xmlns:xm="http://schemas.microsoft.com/office/excel/2006/main">
          <x14:cfRule type="expression" priority="15" id="{718463D1-6EFD-4EE6-B323-96CDA08A4899}">
            <xm:f>menu!$U$7=FALSE</xm:f>
            <x14:dxf>
              <font>
                <color theme="0"/>
              </font>
              <fill>
                <patternFill>
                  <fgColor theme="0"/>
                  <bgColor theme="0"/>
                </patternFill>
              </fill>
              <border>
                <left/>
                <right/>
                <top/>
                <bottom/>
                <vertical/>
                <horizontal/>
              </border>
            </x14:dxf>
          </x14:cfRule>
          <xm:sqref>C40:M44</xm:sqref>
        </x14:conditionalFormatting>
        <x14:conditionalFormatting xmlns:xm="http://schemas.microsoft.com/office/excel/2006/main">
          <x14:cfRule type="expression" priority="5" id="{AF629E82-3342-4BFA-A83F-BA1BF8222883}">
            <xm:f>menu!$U$7=FALSE</xm:f>
            <x14:dxf>
              <font>
                <color theme="0"/>
              </font>
              <fill>
                <patternFill>
                  <fgColor theme="0"/>
                  <bgColor theme="0"/>
                </patternFill>
              </fill>
              <border>
                <left/>
                <right/>
                <top/>
                <bottom/>
                <vertical/>
                <horizontal/>
              </border>
            </x14:dxf>
          </x14:cfRule>
          <xm:sqref>C57:M57</xm:sqref>
        </x14:conditionalFormatting>
        <x14:conditionalFormatting xmlns:xm="http://schemas.microsoft.com/office/excel/2006/main">
          <x14:cfRule type="expression" priority="193" id="{FA3CB9C9-EB10-4E30-B3F9-88F284E33577}">
            <xm:f>$F$6&gt;menu!$C$161</xm:f>
            <x14:dxf>
              <font>
                <color rgb="FFFF0000"/>
              </font>
              <fill>
                <patternFill patternType="none">
                  <bgColor auto="1"/>
                </patternFill>
              </fill>
            </x14:dxf>
          </x14:cfRule>
          <xm:sqref>F6</xm:sqref>
        </x14:conditionalFormatting>
        <x14:conditionalFormatting xmlns:xm="http://schemas.microsoft.com/office/excel/2006/main">
          <x14:cfRule type="iconSet" priority="1" id="{80E638A5-2B62-4AD6-AD79-45F1CE0141E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G6</xm:sqref>
        </x14:conditionalFormatting>
        <x14:conditionalFormatting xmlns:xm="http://schemas.microsoft.com/office/excel/2006/main">
          <x14:cfRule type="expression" priority="59" id="{31CD2A47-4B44-4EB0-B2ED-51AC7CBEE8B4}">
            <xm:f>menu!$U$7=FALSE</xm:f>
            <x14:dxf>
              <font>
                <color theme="0"/>
              </font>
              <fill>
                <patternFill>
                  <fgColor theme="0"/>
                  <bgColor theme="0"/>
                </patternFill>
              </fill>
              <border>
                <left/>
                <right/>
                <top/>
                <bottom/>
                <vertical/>
                <horizontal/>
              </border>
            </x14:dxf>
          </x14:cfRule>
          <xm:sqref>J34 C34:C36 L34:M36</xm:sqref>
        </x14:conditionalFormatting>
        <x14:conditionalFormatting xmlns:xm="http://schemas.microsoft.com/office/excel/2006/main">
          <x14:cfRule type="expression" priority="54" id="{9F2EF0EC-5576-45F5-81BF-5DFA93559BDF}">
            <xm:f>menu!$U$7=FALSE</xm:f>
            <x14:dxf>
              <font>
                <color theme="0"/>
              </font>
              <fill>
                <patternFill>
                  <fgColor theme="0"/>
                  <bgColor theme="0"/>
                </patternFill>
              </fill>
              <border>
                <left/>
                <right/>
                <top/>
                <bottom/>
                <vertical/>
                <horizontal/>
              </border>
            </x14:dxf>
          </x14:cfRule>
          <xm:sqref>K32:K34</xm:sqref>
        </x14:conditionalFormatting>
        <x14:conditionalFormatting xmlns:xm="http://schemas.microsoft.com/office/excel/2006/main">
          <x14:cfRule type="iconSet" priority="216" id="{82EB860D-9788-4AB4-81BF-F07CD0B26A1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M20:M24</xm:sqref>
        </x14:conditionalFormatting>
        <x14:conditionalFormatting xmlns:xm="http://schemas.microsoft.com/office/excel/2006/main">
          <x14:cfRule type="iconSet" priority="80" id="{4A23C7A0-9C56-4859-944B-857492FCD1E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81" id="{C7C4C48F-245E-4F09-9FB4-688435DA876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M32</xm:sqref>
        </x14:conditionalFormatting>
        <x14:conditionalFormatting xmlns:xm="http://schemas.microsoft.com/office/excel/2006/main">
          <x14:cfRule type="iconSet" priority="187" id="{BF6E4AAB-3C0F-45C5-ADF3-8E948197B4A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M33</xm:sqref>
        </x14:conditionalFormatting>
        <x14:conditionalFormatting xmlns:xm="http://schemas.microsoft.com/office/excel/2006/main">
          <x14:cfRule type="iconSet" priority="65" id="{3823B5E2-4F48-47F7-A3CD-EB07A5EBDED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66" id="{91964AFC-339C-4696-9CCE-D3C1E14A5BF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M34</xm:sqref>
        </x14:conditionalFormatting>
        <x14:conditionalFormatting xmlns:xm="http://schemas.microsoft.com/office/excel/2006/main">
          <x14:cfRule type="iconSet" priority="1907" id="{E7733256-BEBD-4202-BAF9-44214763517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M35:M36</xm:sqref>
        </x14:conditionalFormatting>
        <x14:conditionalFormatting xmlns:xm="http://schemas.microsoft.com/office/excel/2006/main">
          <x14:cfRule type="iconSet" priority="188" id="{C0190EDC-D09B-4716-9AF6-4E43EACD9B7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M37 M31 M33</xm:sqref>
        </x14:conditionalFormatting>
        <x14:conditionalFormatting xmlns:xm="http://schemas.microsoft.com/office/excel/2006/main">
          <x14:cfRule type="iconSet" priority="185" id="{EBCE0F36-A62A-4404-8F3F-B8F476E83EB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M37</xm:sqref>
        </x14:conditionalFormatting>
        <x14:conditionalFormatting xmlns:xm="http://schemas.microsoft.com/office/excel/2006/main">
          <x14:cfRule type="iconSet" priority="29" id="{E99E0FAC-4E88-4DF4-9087-878E05C8F91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M42:M43</xm:sqref>
        </x14:conditionalFormatting>
        <x14:conditionalFormatting xmlns:xm="http://schemas.microsoft.com/office/excel/2006/main">
          <x14:cfRule type="iconSet" priority="1922" id="{1B3F12CE-E6FF-413D-AA9F-12DDA613D89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M48</xm:sqref>
        </x14:conditionalFormatting>
        <x14:conditionalFormatting xmlns:xm="http://schemas.microsoft.com/office/excel/2006/main">
          <x14:cfRule type="iconSet" priority="2" id="{465D0DF3-BFF4-495A-88EF-DC43E0096955}">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M54</xm:sqref>
        </x14:conditionalFormatting>
        <x14:conditionalFormatting xmlns:xm="http://schemas.microsoft.com/office/excel/2006/main">
          <x14:cfRule type="expression" priority="3" id="{F4136640-DB88-417B-84D7-85CD0C370879}">
            <xm:f>menu!$U$6=FALSE</xm:f>
            <x14:dxf>
              <font>
                <color theme="0"/>
              </font>
              <fill>
                <patternFill>
                  <fgColor theme="0"/>
                  <bgColor theme="0"/>
                </patternFill>
              </fill>
              <border>
                <left/>
                <right/>
                <top/>
                <bottom/>
                <vertical/>
                <horizontal/>
              </border>
            </x14:dxf>
          </x14:cfRule>
          <xm:sqref>M54:M58</xm:sqref>
        </x14:conditionalFormatting>
        <x14:conditionalFormatting xmlns:xm="http://schemas.microsoft.com/office/excel/2006/main">
          <x14:cfRule type="iconSet" priority="202" id="{D910A20F-9077-49EB-B1EB-C2CEB4EFF92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M55</xm:sqref>
        </x14:conditionalFormatting>
        <x14:conditionalFormatting xmlns:xm="http://schemas.microsoft.com/office/excel/2006/main">
          <x14:cfRule type="iconSet" priority="198" id="{93C24E08-28E6-4817-B0EA-62EA0462F56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M56</xm:sqref>
        </x14:conditionalFormatting>
        <x14:conditionalFormatting xmlns:xm="http://schemas.microsoft.com/office/excel/2006/main">
          <x14:cfRule type="iconSet" priority="6" id="{1310D7C5-756C-4395-ACCD-3122A7FD149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M57</xm:sqref>
        </x14:conditionalFormatting>
        <x14:conditionalFormatting xmlns:xm="http://schemas.microsoft.com/office/excel/2006/main">
          <x14:cfRule type="iconSet" priority="196" id="{7C79859C-5ED2-4D64-9A71-CE3DAD8DFD4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M58</xm:sqref>
        </x14:conditionalFormatting>
        <x14:conditionalFormatting xmlns:xm="http://schemas.microsoft.com/office/excel/2006/main">
          <x14:cfRule type="expression" priority="45" id="{30F73765-7AF2-448F-B0B6-AF95B07D0E5B}">
            <xm:f>menu!$U$5=FALSE</xm:f>
            <x14:dxf>
              <font>
                <color theme="0"/>
              </font>
              <fill>
                <patternFill>
                  <fgColor theme="0"/>
                  <bgColor theme="0"/>
                </patternFill>
              </fill>
              <border>
                <left/>
                <right/>
                <top/>
                <bottom/>
                <vertical/>
                <horizontal/>
              </border>
            </x14:dxf>
          </x14:cfRule>
          <xm:sqref>P37:AA37</xm:sqref>
        </x14:conditionalFormatting>
      </x14:conditionalFormattings>
    </ext>
    <ext xmlns:x14="http://schemas.microsoft.com/office/spreadsheetml/2009/9/main" uri="{CCE6A557-97BC-4b89-ADB6-D9C93CAAB3DF}">
      <x14:dataValidations xmlns:xm="http://schemas.microsoft.com/office/excel/2006/main" count="12">
        <x14:dataValidation type="custom" operator="greaterThan" allowBlank="1" showInputMessage="1" showErrorMessage="1" error="Ausgaben können nur für Jahre eingegeben werden, in denen ein Klimaschutzmanager eingestellt ist. " xr:uid="{00000000-0002-0000-0C00-000006000000}">
          <x14:formula1>
            <xm:f>Personal!G51&gt;0</xm:f>
          </x14:formula1>
          <xm:sqref>H58</xm:sqref>
        </x14:dataValidation>
        <x14:dataValidation type="custom" allowBlank="1" showInputMessage="1" showErrorMessage="1" error="Ausgaben können nur für Jahre eingegeben werden, in denen ein Klimaschutzmanager eingestellt ist. " xr:uid="{00000000-0002-0000-0C00-000007000000}">
          <x14:formula1>
            <xm:f>Personal!H51&gt;0</xm:f>
          </x14:formula1>
          <xm:sqref>I58:J58</xm:sqref>
        </x14:dataValidation>
        <x14:dataValidation type="custom" operator="greaterThan" allowBlank="1" showInputMessage="1" showErrorMessage="1" xr:uid="{00000000-0002-0000-0C00-000008000000}">
          <x14:formula1>
            <xm:f>Personal!F51&gt;0</xm:f>
          </x14:formula1>
          <xm:sqref>G58</xm:sqref>
        </x14:dataValidation>
        <x14:dataValidation type="custom" operator="greaterThan" allowBlank="1" showInputMessage="1" showErrorMessage="1" error="Ausgaben können nur für Jahre eingegeben werden, in denen ein Klimaschutzmanager eingestellt ist. " xr:uid="{00000000-0002-0000-0C00-000009000000}">
          <x14:formula1>
            <xm:f>Personal!G51&gt;0</xm:f>
          </x14:formula1>
          <xm:sqref>H55</xm:sqref>
        </x14:dataValidation>
        <x14:dataValidation type="custom" allowBlank="1" showInputMessage="1" showErrorMessage="1" error="Ausgaben können nur für Jahre eingegeben werden, in denen ein Klimaschutzmanager eingestellt ist. " xr:uid="{00000000-0002-0000-0C00-00000A000000}">
          <x14:formula1>
            <xm:f>Personal!H51&gt;0</xm:f>
          </x14:formula1>
          <xm:sqref>I55:J55</xm:sqref>
        </x14:dataValidation>
        <x14:dataValidation type="custom" operator="greaterThan" allowBlank="1" showInputMessage="1" showErrorMessage="1" error="Ausgaben können nur für Jahre eingegeben werden, in denen ein Klimaschutzmanager eingestellt ist. " xr:uid="{00000000-0002-0000-0C00-00000B000000}">
          <x14:formula1>
            <xm:f>Personal!G51&gt;0</xm:f>
          </x14:formula1>
          <xm:sqref>H56</xm:sqref>
        </x14:dataValidation>
        <x14:dataValidation type="custom" allowBlank="1" showInputMessage="1" showErrorMessage="1" error="Ausgaben können nur für Jahre eingegeben werden, in denen ein Klimaschutzmanager eingestellt ist. " xr:uid="{00000000-0002-0000-0C00-00000C000000}">
          <x14:formula1>
            <xm:f>Personal!H51&gt;0</xm:f>
          </x14:formula1>
          <xm:sqref>I56:J56</xm:sqref>
        </x14:dataValidation>
        <x14:dataValidation type="custom" operator="greaterThanOrEqual" allowBlank="1" showInputMessage="1" showErrorMessage="1" xr:uid="{00000000-0002-0000-0C00-00000D000000}">
          <x14:formula1>
            <xm:f>Personal!F51&gt;0</xm:f>
          </x14:formula1>
          <xm:sqref>G55</xm:sqref>
        </x14:dataValidation>
        <x14:dataValidation type="custom" operator="greaterThan" allowBlank="1" showInputMessage="1" showErrorMessage="1" xr:uid="{00000000-0002-0000-0C00-00000E000000}">
          <x14:formula1>
            <xm:f>Personal!F51&gt;0</xm:f>
          </x14:formula1>
          <xm:sqref>G56</xm:sqref>
        </x14:dataValidation>
        <x14:dataValidation type="custom" allowBlank="1" showInputMessage="1" showErrorMessage="1" error="Ausgaben können nur für Jahre eingegeben werden, in denen ein Klimaschutzmanager eingestellt ist. " xr:uid="{00000000-0002-0000-0C00-00000F000000}">
          <x14:formula1>
            <xm:f>Personal!H51&gt;0</xm:f>
          </x14:formula1>
          <xm:sqref>I57:J57</xm:sqref>
        </x14:dataValidation>
        <x14:dataValidation type="custom" operator="greaterThan" allowBlank="1" showInputMessage="1" showErrorMessage="1" error="Ausgaben können nur für Jahre eingegeben werden, in denen ein Klimaschutzmanager eingestellt ist. " xr:uid="{00000000-0002-0000-0C00-000010000000}">
          <x14:formula1>
            <xm:f>Personal!G51&gt;0</xm:f>
          </x14:formula1>
          <xm:sqref>H57</xm:sqref>
        </x14:dataValidation>
        <x14:dataValidation type="custom" operator="greaterThan" allowBlank="1" showInputMessage="1" showErrorMessage="1" xr:uid="{00000000-0002-0000-0C00-000011000000}">
          <x14:formula1>
            <xm:f>Personal!F51&gt;0</xm:f>
          </x14:formula1>
          <xm:sqref>G57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tabColor rgb="FFFCF2F7"/>
    <pageSetUpPr fitToPage="1"/>
  </sheetPr>
  <dimension ref="B3:P26"/>
  <sheetViews>
    <sheetView showGridLines="0" showRowColHeaders="0" showRuler="0" view="pageBreakPreview" zoomScaleNormal="115" zoomScaleSheetLayoutView="100" workbookViewId="0">
      <selection activeCell="C10" sqref="C10:L10"/>
    </sheetView>
  </sheetViews>
  <sheetFormatPr baseColWidth="10" defaultColWidth="11.453125" defaultRowHeight="11.5" x14ac:dyDescent="0.25"/>
  <cols>
    <col min="1" max="2" width="2.26953125" style="86" customWidth="1"/>
    <col min="3" max="3" width="6" style="86" customWidth="1"/>
    <col min="4" max="4" width="4.453125" style="86" customWidth="1"/>
    <col min="5" max="5" width="17.7265625" style="86" customWidth="1"/>
    <col min="6" max="6" width="14.453125" style="86" customWidth="1"/>
    <col min="7" max="7" width="14.54296875" style="86" customWidth="1"/>
    <col min="8" max="8" width="14.1796875" style="86" customWidth="1"/>
    <col min="9" max="9" width="4.7265625" style="86" customWidth="1"/>
    <col min="10" max="10" width="9.7265625" style="86" customWidth="1"/>
    <col min="11" max="11" width="18.7265625" style="86" customWidth="1"/>
    <col min="12" max="12" width="16.1796875" style="86" customWidth="1"/>
    <col min="13" max="13" width="3.26953125" style="86" customWidth="1"/>
    <col min="14" max="14" width="2.26953125" style="86" customWidth="1"/>
    <col min="15" max="16384" width="11.453125" style="86"/>
  </cols>
  <sheetData>
    <row r="3" spans="3:16" ht="17.25" customHeight="1" x14ac:dyDescent="0.25">
      <c r="C3" s="749" t="s">
        <v>108</v>
      </c>
      <c r="D3" s="749"/>
      <c r="E3" s="749"/>
      <c r="F3" s="749"/>
      <c r="G3" s="749"/>
      <c r="H3" s="108"/>
      <c r="I3" s="87"/>
      <c r="J3" s="88" t="s">
        <v>63</v>
      </c>
      <c r="K3" s="109"/>
      <c r="L3" s="109"/>
    </row>
    <row r="4" spans="3:16" ht="17.25" customHeight="1" x14ac:dyDescent="0.25">
      <c r="C4" s="749"/>
      <c r="D4" s="749"/>
      <c r="E4" s="749"/>
      <c r="F4" s="749"/>
      <c r="G4" s="749"/>
      <c r="H4" s="108"/>
      <c r="I4" s="166"/>
      <c r="J4" s="89" t="s">
        <v>62</v>
      </c>
      <c r="K4" s="109"/>
      <c r="L4" s="109"/>
    </row>
    <row r="5" spans="3:16" ht="17.25" customHeight="1" x14ac:dyDescent="0.25">
      <c r="I5" s="90"/>
      <c r="J5" s="89" t="s">
        <v>61</v>
      </c>
    </row>
    <row r="6" spans="3:16" ht="17.25" customHeight="1" x14ac:dyDescent="0.25">
      <c r="I6" s="91"/>
      <c r="J6" s="89" t="s">
        <v>48</v>
      </c>
    </row>
    <row r="7" spans="3:16" ht="17.25" customHeight="1" x14ac:dyDescent="0.25">
      <c r="I7" s="92"/>
      <c r="J7" s="89" t="s">
        <v>49</v>
      </c>
    </row>
    <row r="8" spans="3:16" ht="5.25" customHeight="1" x14ac:dyDescent="0.25">
      <c r="I8" s="173"/>
      <c r="J8" s="229"/>
    </row>
    <row r="9" spans="3:16" ht="12" customHeight="1" x14ac:dyDescent="0.25">
      <c r="C9" s="817" t="s">
        <v>9</v>
      </c>
      <c r="D9" s="818"/>
      <c r="E9" s="818"/>
      <c r="F9" s="818"/>
      <c r="G9" s="818"/>
      <c r="H9" s="818"/>
      <c r="I9" s="818"/>
      <c r="J9" s="818"/>
      <c r="K9" s="818"/>
      <c r="L9" s="819"/>
    </row>
    <row r="10" spans="3:16" ht="14.25" customHeight="1" x14ac:dyDescent="0.25">
      <c r="C10" s="811" t="str">
        <f>IF(menu!I47&lt;&gt;FALSE,"Zuwendungsfähig sind Ausgaben zur professionellen Prozessunterstützung in einem zeitlichen Umfang von maximal "&amp; menu!I47*5&amp;" Tagen im Projektzeitraum.",Texte!C11)</f>
        <v>Zuwendungsfähig sind Ausgaben zur professionellen Prozessunterstützung in einem zeitlichen Umfang von maximal 5 Tagen im Projektzeitraum.</v>
      </c>
      <c r="D10" s="812"/>
      <c r="E10" s="812"/>
      <c r="F10" s="812"/>
      <c r="G10" s="812"/>
      <c r="H10" s="812"/>
      <c r="I10" s="812"/>
      <c r="J10" s="812"/>
      <c r="K10" s="812"/>
      <c r="L10" s="813"/>
    </row>
    <row r="11" spans="3:16" ht="6" customHeight="1" x14ac:dyDescent="0.25"/>
    <row r="12" spans="3:16" ht="15" customHeight="1" thickBot="1" x14ac:dyDescent="0.3">
      <c r="C12" s="808" t="s">
        <v>187</v>
      </c>
      <c r="D12" s="808"/>
      <c r="E12" s="765"/>
      <c r="F12" s="765"/>
      <c r="G12" s="765"/>
      <c r="H12" s="765"/>
      <c r="I12" s="765"/>
      <c r="J12" s="765"/>
      <c r="K12" s="765"/>
      <c r="L12" s="765"/>
    </row>
    <row r="13" spans="3:16" ht="30" customHeight="1" x14ac:dyDescent="0.25">
      <c r="F13" s="217" t="s">
        <v>20</v>
      </c>
      <c r="G13" s="221" t="s">
        <v>21</v>
      </c>
      <c r="H13" s="809" t="s">
        <v>11</v>
      </c>
      <c r="I13" s="810"/>
      <c r="J13" s="218"/>
      <c r="K13" s="219"/>
      <c r="L13" s="220"/>
      <c r="M13" s="118"/>
      <c r="N13" s="118"/>
      <c r="O13" s="118"/>
      <c r="P13" s="118"/>
    </row>
    <row r="14" spans="3:16" ht="30.75" customHeight="1" thickBot="1" x14ac:dyDescent="0.3">
      <c r="F14" s="222"/>
      <c r="G14" s="216"/>
      <c r="H14" s="806">
        <f>G14*F14</f>
        <v>0</v>
      </c>
      <c r="I14" s="807"/>
      <c r="J14" s="76">
        <f>IF(F14&gt;5*menu!I47,1,IF(G14&gt;1200,0.5,0))</f>
        <v>0</v>
      </c>
      <c r="K14" s="383" t="s">
        <v>511</v>
      </c>
      <c r="M14" s="9"/>
      <c r="N14" s="99"/>
    </row>
    <row r="15" spans="3:16" ht="6" customHeight="1" x14ac:dyDescent="0.25">
      <c r="C15" s="215"/>
      <c r="D15" s="180"/>
      <c r="E15" s="820"/>
      <c r="F15" s="820"/>
      <c r="G15" s="820"/>
      <c r="H15" s="181"/>
      <c r="I15" s="181"/>
      <c r="J15" s="181"/>
      <c r="K15" s="182"/>
      <c r="L15" s="168"/>
    </row>
    <row r="16" spans="3:16" ht="15" customHeight="1" x14ac:dyDescent="0.25">
      <c r="C16" s="412" t="str">
        <f>IF(G14&gt;980,Texte!C31,"")</f>
        <v/>
      </c>
      <c r="D16" s="180"/>
      <c r="E16" s="181"/>
      <c r="F16" s="181"/>
      <c r="G16" s="181"/>
      <c r="H16" s="181"/>
      <c r="I16" s="181"/>
      <c r="J16" s="181"/>
      <c r="K16" s="182"/>
      <c r="L16" s="386" t="s">
        <v>180</v>
      </c>
    </row>
    <row r="17" spans="2:16" ht="6" customHeight="1" x14ac:dyDescent="0.25">
      <c r="E17" s="99"/>
      <c r="F17" s="99"/>
      <c r="G17" s="99"/>
      <c r="H17" s="99"/>
      <c r="I17" s="99"/>
      <c r="J17" s="99"/>
      <c r="K17" s="122"/>
      <c r="L17" s="123"/>
    </row>
    <row r="18" spans="2:16" ht="351" customHeight="1" x14ac:dyDescent="0.25">
      <c r="B18" s="128"/>
      <c r="C18" s="814" t="s">
        <v>448</v>
      </c>
      <c r="D18" s="815"/>
      <c r="E18" s="815"/>
      <c r="F18" s="815"/>
      <c r="G18" s="815"/>
      <c r="H18" s="815"/>
      <c r="I18" s="815"/>
      <c r="J18" s="815"/>
      <c r="K18" s="815"/>
      <c r="L18" s="816"/>
    </row>
    <row r="19" spans="2:16" ht="6" customHeight="1" x14ac:dyDescent="0.25">
      <c r="B19" s="128"/>
      <c r="C19" s="549"/>
      <c r="D19" s="550"/>
      <c r="E19" s="550"/>
      <c r="F19" s="550"/>
      <c r="G19" s="550"/>
      <c r="H19" s="550"/>
      <c r="I19" s="550"/>
      <c r="J19" s="550"/>
      <c r="K19" s="550"/>
      <c r="L19" s="551"/>
    </row>
    <row r="20" spans="2:16" ht="6.75" customHeight="1" x14ac:dyDescent="0.25">
      <c r="C20" s="107"/>
      <c r="D20" s="107"/>
      <c r="E20" s="107"/>
      <c r="F20" s="107"/>
      <c r="G20" s="107"/>
      <c r="H20" s="107"/>
      <c r="I20" s="107"/>
      <c r="J20" s="107"/>
      <c r="K20" s="107"/>
      <c r="L20" s="123"/>
    </row>
    <row r="21" spans="2:16" ht="12" thickBot="1" x14ac:dyDescent="0.3">
      <c r="C21" s="805" t="s">
        <v>96</v>
      </c>
      <c r="D21" s="805"/>
      <c r="E21" s="805"/>
      <c r="F21" s="805"/>
      <c r="G21" s="805"/>
      <c r="H21" s="805"/>
      <c r="I21" s="805"/>
      <c r="J21" s="805"/>
      <c r="K21" s="805"/>
      <c r="L21" s="805"/>
      <c r="M21" s="129"/>
      <c r="N21" s="129"/>
      <c r="O21" s="129"/>
      <c r="P21" s="129"/>
    </row>
    <row r="22" spans="2:16" ht="15" customHeight="1" x14ac:dyDescent="0.25">
      <c r="C22" s="783" t="s">
        <v>18</v>
      </c>
      <c r="D22" s="784"/>
      <c r="E22" s="101" t="s">
        <v>32</v>
      </c>
      <c r="F22" s="102" t="str">
        <f>Personal!E50</f>
        <v>Projektjahr 1</v>
      </c>
      <c r="G22" s="103" t="str">
        <f>Personal!F50</f>
        <v>Projektjahr 2</v>
      </c>
      <c r="H22" s="103" t="str">
        <f>Personal!G50</f>
        <v>Projektjahr 3</v>
      </c>
      <c r="I22" s="789" t="str">
        <f>Personal!H50</f>
        <v>Projektjahr 4</v>
      </c>
      <c r="J22" s="790"/>
      <c r="K22" s="104" t="s">
        <v>6</v>
      </c>
      <c r="L22" s="76" t="s">
        <v>90</v>
      </c>
    </row>
    <row r="23" spans="2:16" ht="27.75" customHeight="1" thickBot="1" x14ac:dyDescent="0.3">
      <c r="C23" s="821" t="s">
        <v>100</v>
      </c>
      <c r="D23" s="822"/>
      <c r="E23" s="105" t="str">
        <f>LEFT(C12,33)</f>
        <v>Ausgaben für Prozessunterstützung</v>
      </c>
      <c r="F23" s="80"/>
      <c r="G23" s="82"/>
      <c r="H23" s="82"/>
      <c r="I23" s="823"/>
      <c r="J23" s="824"/>
      <c r="K23" s="81">
        <f>H14</f>
        <v>0</v>
      </c>
      <c r="L23" s="84">
        <f t="shared" ref="L23" si="0">K23-SUM(F23:J23)</f>
        <v>0</v>
      </c>
      <c r="M23" s="9">
        <f>IF(OR(AND(menu!$U$10=TRUE,L23&lt;&gt;0),AND(menu!$U$10=TRUE,SUM(I14:J14)&gt;10)),1,0)</f>
        <v>0</v>
      </c>
    </row>
    <row r="24" spans="2:16" ht="6" customHeight="1" x14ac:dyDescent="0.25"/>
    <row r="25" spans="2:16" ht="12.75" customHeight="1" x14ac:dyDescent="0.25">
      <c r="C25" s="722" t="s">
        <v>183</v>
      </c>
      <c r="D25" s="722"/>
      <c r="E25" s="722"/>
      <c r="F25" s="722"/>
      <c r="G25" s="722"/>
      <c r="H25" s="722"/>
      <c r="I25" s="722"/>
      <c r="J25" s="722"/>
      <c r="K25" s="722"/>
      <c r="L25" s="722"/>
      <c r="M25" s="722"/>
    </row>
    <row r="26" spans="2:16" ht="17.25" customHeight="1" x14ac:dyDescent="0.25">
      <c r="C26" s="718" t="str">
        <f>Basisdaten!C46</f>
        <v>Vorhabenbeschreibung 
4.1.10 a): Erstellung eines 
Fokuskonzeptes 2509_V3</v>
      </c>
      <c r="D26" s="719"/>
      <c r="E26" s="719"/>
      <c r="F26" s="719"/>
      <c r="G26" s="719"/>
      <c r="H26" s="719"/>
      <c r="I26" s="719"/>
      <c r="J26" s="719"/>
      <c r="K26" s="719"/>
      <c r="L26" s="719"/>
    </row>
  </sheetData>
  <customSheetViews>
    <customSheetView guid="{68ABA936-E0C3-4F62-AA1D-4FD1F5462098}" showPageBreaks="1" showGridLines="0" showRowCol="0" fitToPage="1" printArea="1" view="pageBreakPreview">
      <selection activeCell="G23" sqref="G23"/>
      <pageMargins left="0.39370078740157483" right="0.39370078740157483" top="0.39370078740157483" bottom="0.39370078740157483" header="0" footer="0"/>
      <printOptions horizontalCentered="1"/>
      <pageSetup paperSize="9" scale="74" orientation="portrait" r:id="rId1"/>
    </customSheetView>
  </customSheetViews>
  <mergeCells count="15">
    <mergeCell ref="C26:L26"/>
    <mergeCell ref="E15:G15"/>
    <mergeCell ref="C23:D23"/>
    <mergeCell ref="I23:J23"/>
    <mergeCell ref="C21:L21"/>
    <mergeCell ref="C22:D22"/>
    <mergeCell ref="I22:J22"/>
    <mergeCell ref="H14:I14"/>
    <mergeCell ref="C25:M25"/>
    <mergeCell ref="C3:G4"/>
    <mergeCell ref="C12:L12"/>
    <mergeCell ref="H13:I13"/>
    <mergeCell ref="C10:L10"/>
    <mergeCell ref="C18:L19"/>
    <mergeCell ref="C9:L9"/>
  </mergeCells>
  <conditionalFormatting sqref="F14">
    <cfRule type="expression" dxfId="127" priority="1700">
      <formula>$F$14&gt;0</formula>
    </cfRule>
  </conditionalFormatting>
  <conditionalFormatting sqref="F23:J23">
    <cfRule type="expression" dxfId="126" priority="344">
      <formula>$L$23&lt;&gt;0</formula>
    </cfRule>
    <cfRule type="expression" dxfId="125" priority="361">
      <formula>AND($L$23=0,$K$23&lt;&gt;0)</formula>
    </cfRule>
  </conditionalFormatting>
  <conditionalFormatting sqref="G14">
    <cfRule type="expression" dxfId="124" priority="1701">
      <formula>$G$14&gt;0</formula>
    </cfRule>
  </conditionalFormatting>
  <conditionalFormatting sqref="K14 L16">
    <cfRule type="expression" dxfId="122" priority="1">
      <formula>$G$14&lt;980</formula>
    </cfRule>
  </conditionalFormatting>
  <conditionalFormatting sqref="L22">
    <cfRule type="expression" dxfId="121" priority="1027">
      <formula>SUM($L$23:$L$23)=0</formula>
    </cfRule>
  </conditionalFormatting>
  <conditionalFormatting sqref="L23">
    <cfRule type="expression" dxfId="120" priority="350">
      <formula>L23&lt;&gt;0</formula>
    </cfRule>
    <cfRule type="expression" dxfId="119" priority="353">
      <formula>L23=0</formula>
    </cfRule>
    <cfRule type="expression" dxfId="118" priority="360">
      <formula>K23=0</formula>
    </cfRule>
  </conditionalFormatting>
  <dataValidations disablePrompts="1" count="3">
    <dataValidation operator="greaterThan" allowBlank="1" showInputMessage="1" showErrorMessage="1" sqref="H14" xr:uid="{00000000-0002-0000-0D00-000000000000}"/>
    <dataValidation type="decimal" operator="greaterThan" allowBlank="1" showInputMessage="1" showErrorMessage="1" sqref="F23:G23" xr:uid="{00000000-0002-0000-0D00-000001000000}">
      <formula1>0</formula1>
    </dataValidation>
    <dataValidation type="decimal" errorStyle="information" operator="lessThan" allowBlank="1" showInputMessage="1" showErrorMessage="1" errorTitle="Hinweis:" error="Die Höhe des Tagessatzes scheint vergleichsweise hoch zu sein. Bitte erläutern Sie dies im Tabellenbaltt &quot;Anmerkungen&quot;." sqref="G14" xr:uid="{00000000-0002-0000-0D00-000002000000}">
      <formula1>1200</formula1>
    </dataValidation>
  </dataValidations>
  <hyperlinks>
    <hyperlink ref="L16" location="Anmerkungen!A1" display="Anmerkungen" xr:uid="{00000000-0004-0000-0D00-000000000000}"/>
  </hyperlinks>
  <printOptions horizontalCentered="1"/>
  <pageMargins left="0.39370078740157483" right="0.19685039370078741" top="0.19685039370078741" bottom="0.19685039370078741" header="0" footer="0"/>
  <pageSetup paperSize="9" scale="7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33" r:id="rId5" name="Check Box 5">
              <controlPr defaultSize="0" autoFill="0" autoLine="0" autoPict="0">
                <anchor moveWithCells="1">
                  <from>
                    <xdr:col>2</xdr:col>
                    <xdr:colOff>12700</xdr:colOff>
                    <xdr:row>3</xdr:row>
                    <xdr:rowOff>165100</xdr:rowOff>
                  </from>
                  <to>
                    <xdr:col>4</xdr:col>
                    <xdr:colOff>990600</xdr:colOff>
                    <xdr:row>4</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0" id="{CADAFC17-4D2B-41A9-901E-E68B216413F1}">
            <xm:f>menu!$U$4=FALSE</xm:f>
            <x14:dxf>
              <font>
                <color theme="0"/>
              </font>
              <fill>
                <patternFill>
                  <fgColor theme="0"/>
                  <bgColor theme="0"/>
                </patternFill>
              </fill>
              <border>
                <left/>
                <right/>
                <top/>
                <bottom/>
                <vertical/>
                <horizontal/>
              </border>
            </x14:dxf>
          </x14:cfRule>
          <xm:sqref>C25</xm:sqref>
        </x14:conditionalFormatting>
        <x14:conditionalFormatting xmlns:xm="http://schemas.microsoft.com/office/excel/2006/main">
          <x14:cfRule type="expression" priority="271" id="{C261DAB8-0AB2-450D-A5C9-9FEA0C8E6E91}">
            <xm:f>$F$14&gt;5*menu!$I$47</xm:f>
            <x14:dxf>
              <fill>
                <patternFill>
                  <bgColor rgb="FFE3B5A2"/>
                </patternFill>
              </fill>
            </x14:dxf>
          </x14:cfRule>
          <xm:sqref>F14</xm:sqref>
        </x14:conditionalFormatting>
        <x14:conditionalFormatting xmlns:xm="http://schemas.microsoft.com/office/excel/2006/main">
          <x14:cfRule type="expression" priority="2" id="{5A0D6AFE-C6B6-4526-ADEC-35BD6C00A047}">
            <xm:f>menu!$U$10=FALSE</xm:f>
            <x14:dxf>
              <font>
                <color theme="0"/>
              </font>
              <fill>
                <patternFill>
                  <fgColor theme="0"/>
                  <bgColor theme="0"/>
                </patternFill>
              </fill>
              <border>
                <left/>
                <right/>
                <top/>
                <bottom/>
                <vertical/>
                <horizontal/>
              </border>
            </x14:dxf>
          </x14:cfRule>
          <xm:sqref>I3:M8 C9:M13 C14:K14 M14 C15:M26</xm:sqref>
        </x14:conditionalFormatting>
        <x14:conditionalFormatting xmlns:xm="http://schemas.microsoft.com/office/excel/2006/main">
          <x14:cfRule type="iconSet" priority="3" id="{47B9B340-F4D9-44B9-9C7A-D84A75E5C58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J14</xm:sqref>
        </x14:conditionalFormatting>
        <x14:conditionalFormatting xmlns:xm="http://schemas.microsoft.com/office/excel/2006/main">
          <x14:cfRule type="iconSet" priority="278" id="{520DBFE7-A1A1-49C6-AF06-BB735652718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xm:sqref>
        </x14:conditionalFormatting>
        <x14:conditionalFormatting xmlns:xm="http://schemas.microsoft.com/office/excel/2006/main">
          <x14:cfRule type="iconSet" priority="272" id="{5727A195-C115-4601-97AB-FD1616EE507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273" id="{D363F4F4-323A-4711-BE34-AB804EE2ABC4}">
            <xm:f>menu!$U$6=FALSE</xm:f>
            <x14:dxf>
              <font>
                <color theme="0"/>
              </font>
              <fill>
                <patternFill>
                  <fgColor theme="0"/>
                  <bgColor theme="0"/>
                </patternFill>
              </fill>
              <border>
                <left/>
                <right/>
                <top/>
                <bottom/>
                <vertical/>
                <horizontal/>
              </border>
            </x14:dxf>
          </x14:cfRule>
          <xm:sqref>M23</xm:sqref>
        </x14:conditionalFormatting>
      </x14:conditionalFormattings>
    </ext>
    <ext xmlns:x14="http://schemas.microsoft.com/office/spreadsheetml/2009/9/main" uri="{CCE6A557-97BC-4b89-ADB6-D9C93CAAB3DF}">
      <x14:dataValidations xmlns:xm="http://schemas.microsoft.com/office/excel/2006/main" disablePrompts="1" count="3">
        <x14:dataValidation type="custom" operator="greaterThan" allowBlank="1" showInputMessage="1" showErrorMessage="1" error="Ausgaben können nur für Jahre eingegeben werden, in denen ein Klimaschutzmanager eingestellt ist. " xr:uid="{00000000-0002-0000-0D00-000003000000}">
          <x14:formula1>
            <xm:f>Personal!G51&gt;0</xm:f>
          </x14:formula1>
          <xm:sqref>H23</xm:sqref>
        </x14:dataValidation>
        <x14:dataValidation type="custom" allowBlank="1" showInputMessage="1" showErrorMessage="1" error="Ausgaben können nur für Jahre eingegeben werden, in denen ein Klimaschutzmanager eingestellt ist. " xr:uid="{00000000-0002-0000-0D00-000004000000}">
          <x14:formula1>
            <xm:f>Personal!H51&gt;0</xm:f>
          </x14:formula1>
          <xm:sqref>I23:J23</xm:sqref>
        </x14:dataValidation>
        <x14:dataValidation type="decimal" allowBlank="1" showInputMessage="1" showErrorMessage="1" errorTitle="Hinweis:" error="Zuwendungsfähig sind maximal 5 Tage pro Jahr." xr:uid="{00000000-0002-0000-0D00-000005000000}">
          <x14:formula1>
            <xm:f>0</xm:f>
          </x14:formula1>
          <x14:formula2>
            <xm:f>menu!I50</xm:f>
          </x14:formula2>
          <xm:sqref>F14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4">
    <tabColor rgb="FFFCF2F7"/>
    <pageSetUpPr fitToPage="1"/>
  </sheetPr>
  <dimension ref="B3:AB56"/>
  <sheetViews>
    <sheetView showGridLines="0" showRowColHeaders="0" view="pageBreakPreview" zoomScaleNormal="100" zoomScaleSheetLayoutView="100" workbookViewId="0">
      <selection activeCell="J48" sqref="J48:K48"/>
    </sheetView>
  </sheetViews>
  <sheetFormatPr baseColWidth="10" defaultColWidth="11.453125" defaultRowHeight="11.5" x14ac:dyDescent="0.25"/>
  <cols>
    <col min="1" max="1" width="2.26953125" style="1" customWidth="1"/>
    <col min="2" max="2" width="2.1796875" style="1" customWidth="1"/>
    <col min="3" max="3" width="6.1796875" style="1" customWidth="1"/>
    <col min="4" max="4" width="4.54296875" style="1" customWidth="1"/>
    <col min="5" max="5" width="12.1796875" style="1" customWidth="1"/>
    <col min="6" max="6" width="12.7265625" style="1" customWidth="1"/>
    <col min="7" max="7" width="11.453125" style="1" customWidth="1"/>
    <col min="8" max="9" width="5.7265625" style="1" customWidth="1"/>
    <col min="10" max="10" width="4.7265625" style="1" customWidth="1"/>
    <col min="11" max="11" width="6.7265625" style="1" customWidth="1"/>
    <col min="12" max="13" width="11.453125" style="1" customWidth="1"/>
    <col min="14" max="14" width="15" style="1" customWidth="1"/>
    <col min="15" max="15" width="3.26953125" style="1" customWidth="1"/>
    <col min="16" max="16" width="2.1796875" style="1" customWidth="1"/>
    <col min="17" max="16384" width="11.453125" style="1"/>
  </cols>
  <sheetData>
    <row r="3" spans="2:28" ht="18" customHeight="1" x14ac:dyDescent="0.25">
      <c r="C3" s="614" t="s">
        <v>79</v>
      </c>
      <c r="D3" s="614"/>
      <c r="E3" s="614"/>
      <c r="F3" s="614"/>
      <c r="G3" s="870"/>
      <c r="H3" s="870"/>
      <c r="I3" s="871"/>
      <c r="J3" s="19"/>
      <c r="K3" s="29" t="s">
        <v>63</v>
      </c>
      <c r="O3" s="29"/>
      <c r="P3" s="29"/>
      <c r="Q3" s="29"/>
    </row>
    <row r="4" spans="2:28" ht="18" customHeight="1" x14ac:dyDescent="0.25">
      <c r="C4" s="614"/>
      <c r="D4" s="614"/>
      <c r="E4" s="614"/>
      <c r="F4" s="614"/>
      <c r="G4" s="870"/>
      <c r="H4" s="870"/>
      <c r="I4" s="871"/>
      <c r="J4" s="165"/>
      <c r="K4" s="40" t="s">
        <v>62</v>
      </c>
      <c r="O4" s="30"/>
      <c r="P4" s="30"/>
      <c r="Q4" s="30"/>
    </row>
    <row r="5" spans="2:28" ht="18" customHeight="1" x14ac:dyDescent="0.25">
      <c r="J5" s="21"/>
      <c r="K5" s="40" t="s">
        <v>61</v>
      </c>
      <c r="O5" s="29"/>
      <c r="P5" s="29"/>
      <c r="Q5" s="29"/>
    </row>
    <row r="6" spans="2:28" ht="18" customHeight="1" x14ac:dyDescent="0.25">
      <c r="C6" s="129" t="s">
        <v>592</v>
      </c>
      <c r="D6" s="86"/>
      <c r="E6" s="86"/>
      <c r="F6" s="86"/>
      <c r="G6" s="417">
        <f>SUM(G48:L50)</f>
        <v>0</v>
      </c>
      <c r="H6" s="8"/>
      <c r="J6" s="22"/>
      <c r="K6" s="40" t="s">
        <v>48</v>
      </c>
      <c r="O6" s="29"/>
      <c r="P6" s="29"/>
      <c r="Q6" s="29"/>
    </row>
    <row r="7" spans="2:28" ht="18" customHeight="1" x14ac:dyDescent="0.25">
      <c r="J7" s="24"/>
      <c r="K7" s="40" t="s">
        <v>49</v>
      </c>
      <c r="O7" s="29"/>
      <c r="P7" s="29"/>
      <c r="Q7" s="29"/>
    </row>
    <row r="8" spans="2:28" ht="6" customHeight="1" x14ac:dyDescent="0.25">
      <c r="T8" s="851"/>
      <c r="U8" s="852"/>
      <c r="V8" s="852"/>
      <c r="W8" s="852"/>
      <c r="X8" s="852"/>
      <c r="Y8" s="852"/>
      <c r="Z8" s="852"/>
      <c r="AA8" s="852"/>
      <c r="AB8" s="852"/>
    </row>
    <row r="9" spans="2:28" ht="6" customHeight="1" x14ac:dyDescent="0.25">
      <c r="C9" s="15"/>
      <c r="D9" s="15"/>
      <c r="E9" s="15"/>
      <c r="F9" s="15"/>
      <c r="G9" s="15"/>
      <c r="H9" s="15"/>
      <c r="I9" s="15"/>
      <c r="J9" s="15"/>
      <c r="K9" s="15"/>
      <c r="L9" s="15"/>
      <c r="M9" s="15"/>
      <c r="N9" s="57"/>
    </row>
    <row r="10" spans="2:28" ht="12" thickBot="1" x14ac:dyDescent="0.3">
      <c r="C10" s="620" t="s">
        <v>10</v>
      </c>
      <c r="D10" s="620"/>
      <c r="E10" s="620"/>
      <c r="F10" s="620"/>
      <c r="G10" s="620"/>
      <c r="H10" s="620"/>
      <c r="I10" s="620"/>
      <c r="J10" s="620"/>
      <c r="K10" s="620"/>
      <c r="L10" s="620"/>
      <c r="M10" s="620"/>
      <c r="N10" s="620"/>
      <c r="Q10" s="3"/>
      <c r="R10" s="3"/>
      <c r="S10" s="3"/>
    </row>
    <row r="11" spans="2:28" ht="15" customHeight="1" x14ac:dyDescent="0.3">
      <c r="B11" s="37"/>
      <c r="C11" s="875" t="s">
        <v>95</v>
      </c>
      <c r="D11" s="875"/>
      <c r="E11" s="875"/>
      <c r="F11" s="875"/>
      <c r="G11" s="875"/>
      <c r="H11" s="875"/>
      <c r="I11" s="875"/>
      <c r="J11" s="875"/>
      <c r="K11" s="875"/>
      <c r="L11" s="875"/>
      <c r="M11" s="876"/>
      <c r="N11" s="304" t="s">
        <v>77</v>
      </c>
      <c r="R11" s="50"/>
      <c r="S11" s="50"/>
      <c r="T11" s="50"/>
      <c r="U11" s="50"/>
      <c r="V11" s="50"/>
      <c r="W11" s="50"/>
    </row>
    <row r="12" spans="2:28" ht="14.25" customHeight="1" x14ac:dyDescent="0.25">
      <c r="B12" s="37"/>
      <c r="C12" s="877" t="s">
        <v>93</v>
      </c>
      <c r="D12" s="877"/>
      <c r="E12" s="877"/>
      <c r="F12" s="877"/>
      <c r="G12" s="877"/>
      <c r="H12" s="877"/>
      <c r="I12" s="877"/>
      <c r="J12" s="877"/>
      <c r="K12" s="877"/>
      <c r="L12" s="877"/>
      <c r="M12" s="845"/>
      <c r="N12" s="302"/>
      <c r="O12" s="9">
        <f>IF(AND(menu!$U$5=TRUE,N12&gt;250),0.05,0)</f>
        <v>0</v>
      </c>
    </row>
    <row r="13" spans="2:28" ht="14.25" customHeight="1" x14ac:dyDescent="0.25">
      <c r="B13" s="37"/>
      <c r="C13" s="877" t="s">
        <v>94</v>
      </c>
      <c r="D13" s="877"/>
      <c r="E13" s="877"/>
      <c r="F13" s="877"/>
      <c r="G13" s="877"/>
      <c r="H13" s="877"/>
      <c r="I13" s="877"/>
      <c r="J13" s="877"/>
      <c r="K13" s="877"/>
      <c r="L13" s="877"/>
      <c r="M13" s="845"/>
      <c r="N13" s="302"/>
      <c r="O13" s="9">
        <f>IF(AND(menu!$U$5=TRUE,N13&gt;500),0.05,0)</f>
        <v>0</v>
      </c>
    </row>
    <row r="14" spans="2:28" ht="14.25" customHeight="1" x14ac:dyDescent="0.25">
      <c r="B14" s="37"/>
      <c r="C14" s="877" t="s">
        <v>66</v>
      </c>
      <c r="D14" s="877"/>
      <c r="E14" s="877"/>
      <c r="F14" s="877"/>
      <c r="G14" s="877"/>
      <c r="H14" s="877"/>
      <c r="I14" s="877"/>
      <c r="J14" s="877"/>
      <c r="K14" s="877"/>
      <c r="L14" s="877"/>
      <c r="M14" s="845"/>
      <c r="N14" s="302"/>
      <c r="O14" s="9">
        <f>IF(AND(menu!$U$5=TRUE,N14&gt;700),0.05,0)</f>
        <v>0</v>
      </c>
    </row>
    <row r="15" spans="2:28" ht="14.25" customHeight="1" x14ac:dyDescent="0.25">
      <c r="B15" s="37"/>
      <c r="C15" s="877" t="s">
        <v>67</v>
      </c>
      <c r="D15" s="877"/>
      <c r="E15" s="877"/>
      <c r="F15" s="877"/>
      <c r="G15" s="877"/>
      <c r="H15" s="877"/>
      <c r="I15" s="877"/>
      <c r="J15" s="877"/>
      <c r="K15" s="877"/>
      <c r="L15" s="877"/>
      <c r="M15" s="845"/>
      <c r="N15" s="302"/>
      <c r="O15" s="9">
        <f>IF(AND(menu!$U$5=TRUE,N15&gt;250),0.05,0)</f>
        <v>0</v>
      </c>
    </row>
    <row r="16" spans="2:28" ht="14.25" customHeight="1" x14ac:dyDescent="0.25">
      <c r="B16" s="37"/>
      <c r="C16" s="857" t="s">
        <v>78</v>
      </c>
      <c r="D16" s="857"/>
      <c r="E16" s="872"/>
      <c r="F16" s="873"/>
      <c r="G16" s="873"/>
      <c r="H16" s="873"/>
      <c r="I16" s="873"/>
      <c r="J16" s="873"/>
      <c r="K16" s="873"/>
      <c r="L16" s="873"/>
      <c r="M16" s="874"/>
      <c r="N16" s="302"/>
      <c r="O16" s="9">
        <f>IF(AND(menu!$U$5=TRUE,N16&gt;500),0.05,0)</f>
        <v>0</v>
      </c>
    </row>
    <row r="17" spans="2:16" ht="14.25" customHeight="1" thickBot="1" x14ac:dyDescent="0.3">
      <c r="B17" s="37"/>
      <c r="C17" s="857" t="s">
        <v>78</v>
      </c>
      <c r="D17" s="857"/>
      <c r="E17" s="872"/>
      <c r="F17" s="873"/>
      <c r="G17" s="873"/>
      <c r="H17" s="873"/>
      <c r="I17" s="873"/>
      <c r="J17" s="873"/>
      <c r="K17" s="873"/>
      <c r="L17" s="873"/>
      <c r="M17" s="874"/>
      <c r="N17" s="302"/>
      <c r="O17" s="9">
        <f>IF(AND(menu!$U$5=TRUE,N17&gt;500),0.05,0)</f>
        <v>0</v>
      </c>
    </row>
    <row r="18" spans="2:16" ht="14.25" customHeight="1" thickBot="1" x14ac:dyDescent="0.3">
      <c r="C18" s="867" t="str">
        <f>IF(AND(SUM(O12:O17)&gt;0,SUM(O12:O17)&lt;1),"Bitte erläutern Sie die ungewöhnlich hohen Ausgaben im Tabellenblatt 'Anmerkungen'.","")</f>
        <v/>
      </c>
      <c r="D18" s="867"/>
      <c r="E18" s="867"/>
      <c r="F18" s="867"/>
      <c r="G18" s="867"/>
      <c r="H18" s="867"/>
      <c r="I18" s="867"/>
      <c r="J18" s="867"/>
      <c r="K18" s="867"/>
      <c r="L18" s="868"/>
      <c r="M18" s="297" t="s">
        <v>17</v>
      </c>
      <c r="N18" s="303">
        <f>SUM(N12:N17)</f>
        <v>0</v>
      </c>
    </row>
    <row r="19" spans="2:16" ht="6" customHeight="1" x14ac:dyDescent="0.25">
      <c r="C19" s="835"/>
      <c r="D19" s="835"/>
      <c r="E19" s="835"/>
      <c r="F19" s="835"/>
      <c r="G19" s="835"/>
      <c r="H19" s="835"/>
      <c r="I19" s="835"/>
      <c r="J19" s="835"/>
      <c r="K19" s="835"/>
      <c r="L19" s="835"/>
      <c r="M19" s="835"/>
      <c r="N19" s="835"/>
    </row>
    <row r="20" spans="2:16" ht="73.5" customHeight="1" x14ac:dyDescent="0.25">
      <c r="C20" s="854" t="s">
        <v>317</v>
      </c>
      <c r="D20" s="855"/>
      <c r="E20" s="855"/>
      <c r="F20" s="855"/>
      <c r="G20" s="855"/>
      <c r="H20" s="855"/>
      <c r="I20" s="855"/>
      <c r="J20" s="855"/>
      <c r="K20" s="855"/>
      <c r="L20" s="855"/>
      <c r="M20" s="855"/>
      <c r="N20" s="856"/>
    </row>
    <row r="21" spans="2:16" ht="15.75" customHeight="1" x14ac:dyDescent="0.25"/>
    <row r="22" spans="2:16" ht="15.75" customHeight="1" thickBot="1" x14ac:dyDescent="0.3">
      <c r="C22" s="620" t="s">
        <v>12</v>
      </c>
      <c r="D22" s="620"/>
      <c r="E22" s="620"/>
      <c r="F22" s="620"/>
      <c r="G22" s="620"/>
      <c r="H22" s="620"/>
      <c r="I22" s="620"/>
      <c r="J22" s="620"/>
      <c r="K22" s="620"/>
      <c r="L22" s="620"/>
      <c r="M22" s="620"/>
      <c r="N22" s="620"/>
    </row>
    <row r="23" spans="2:16" ht="15.75" customHeight="1" x14ac:dyDescent="0.25">
      <c r="B23" s="37"/>
      <c r="C23" s="860" t="s">
        <v>302</v>
      </c>
      <c r="D23" s="860"/>
      <c r="E23" s="860"/>
      <c r="F23" s="860"/>
      <c r="G23" s="860"/>
      <c r="H23" s="860"/>
      <c r="I23" s="860"/>
      <c r="J23" s="860"/>
      <c r="K23" s="860"/>
      <c r="L23" s="860"/>
      <c r="M23" s="861"/>
      <c r="N23" s="301" t="s">
        <v>11</v>
      </c>
    </row>
    <row r="24" spans="2:16" ht="15.75" customHeight="1" x14ac:dyDescent="0.25">
      <c r="B24" s="37"/>
      <c r="C24" s="862"/>
      <c r="D24" s="862"/>
      <c r="E24" s="862"/>
      <c r="F24" s="862"/>
      <c r="G24" s="862"/>
      <c r="H24" s="862"/>
      <c r="I24" s="862"/>
      <c r="J24" s="862"/>
      <c r="K24" s="862"/>
      <c r="L24" s="862"/>
      <c r="M24" s="863"/>
      <c r="N24" s="299"/>
      <c r="O24" s="9">
        <f>IF(AND(menu!$U$5=TRUE,AND(OR(C24="",LEFT(C24,3)="Bsp")),N24&gt;0),1,IF(N24&gt;300,0.05,0))</f>
        <v>0</v>
      </c>
    </row>
    <row r="25" spans="2:16" ht="15.75" customHeight="1" x14ac:dyDescent="0.25">
      <c r="B25" s="37"/>
      <c r="C25" s="862"/>
      <c r="D25" s="862"/>
      <c r="E25" s="862"/>
      <c r="F25" s="862"/>
      <c r="G25" s="862"/>
      <c r="H25" s="862"/>
      <c r="I25" s="862"/>
      <c r="J25" s="862"/>
      <c r="K25" s="862"/>
      <c r="L25" s="862"/>
      <c r="M25" s="863"/>
      <c r="N25" s="299"/>
      <c r="O25" s="9">
        <f>IF(AND(menu!$U$5=TRUE,AND(OR(C25="",LEFT(C25,3)="Bsp")),N25&gt;0),1,IF(N25&gt;300,0.05,0))</f>
        <v>0</v>
      </c>
    </row>
    <row r="26" spans="2:16" ht="15.75" customHeight="1" x14ac:dyDescent="0.25">
      <c r="B26" s="37"/>
      <c r="C26" s="862"/>
      <c r="D26" s="862"/>
      <c r="E26" s="862"/>
      <c r="F26" s="862"/>
      <c r="G26" s="862"/>
      <c r="H26" s="862"/>
      <c r="I26" s="862"/>
      <c r="J26" s="862"/>
      <c r="K26" s="862"/>
      <c r="L26" s="862"/>
      <c r="M26" s="863"/>
      <c r="N26" s="299"/>
      <c r="O26" s="9">
        <f>IF(AND(menu!$U$5=TRUE,AND(OR(C26="",LEFT(C26,3)="Bsp")),N26&gt;0),1,IF(N26&gt;300,0.05,0))</f>
        <v>0</v>
      </c>
    </row>
    <row r="27" spans="2:16" ht="15.75" customHeight="1" x14ac:dyDescent="0.25">
      <c r="B27" s="37"/>
      <c r="C27" s="862"/>
      <c r="D27" s="862"/>
      <c r="E27" s="862"/>
      <c r="F27" s="862"/>
      <c r="G27" s="862"/>
      <c r="H27" s="862"/>
      <c r="I27" s="862"/>
      <c r="J27" s="862"/>
      <c r="K27" s="862"/>
      <c r="L27" s="862"/>
      <c r="M27" s="863"/>
      <c r="N27" s="299"/>
      <c r="O27" s="9">
        <f>IF(AND(menu!$U$5=TRUE,AND(OR(C27="",LEFT(C27,3)="Bsp")),N27&gt;0),1,IF(N27&gt;300,0.05,0))</f>
        <v>0</v>
      </c>
    </row>
    <row r="28" spans="2:16" ht="15.75" customHeight="1" x14ac:dyDescent="0.25">
      <c r="B28" s="37"/>
      <c r="C28" s="862"/>
      <c r="D28" s="862"/>
      <c r="E28" s="862"/>
      <c r="F28" s="862"/>
      <c r="G28" s="862"/>
      <c r="H28" s="862"/>
      <c r="I28" s="862"/>
      <c r="J28" s="862"/>
      <c r="K28" s="862"/>
      <c r="L28" s="862"/>
      <c r="M28" s="863"/>
      <c r="N28" s="299"/>
      <c r="O28" s="9">
        <f>IF(AND(menu!$U$5=TRUE,AND(OR(C28="",LEFT(C28,3)="Bsp")),N28&gt;0),1,IF(N28&gt;300,0.05,0))</f>
        <v>0</v>
      </c>
    </row>
    <row r="29" spans="2:16" ht="15.75" customHeight="1" x14ac:dyDescent="0.25">
      <c r="B29" s="37"/>
      <c r="C29" s="862"/>
      <c r="D29" s="862"/>
      <c r="E29" s="862"/>
      <c r="F29" s="862"/>
      <c r="G29" s="862"/>
      <c r="H29" s="862"/>
      <c r="I29" s="862"/>
      <c r="J29" s="862"/>
      <c r="K29" s="862"/>
      <c r="L29" s="862"/>
      <c r="M29" s="863"/>
      <c r="N29" s="299"/>
      <c r="O29" s="9">
        <f>IF(AND(menu!$U$5=TRUE,AND(OR(C29="",LEFT(C29,3)="Bsp")),N29&gt;0),1,IF(N29&gt;300,0.05,0))</f>
        <v>0</v>
      </c>
    </row>
    <row r="30" spans="2:16" ht="15.75" customHeight="1" thickBot="1" x14ac:dyDescent="0.3">
      <c r="B30" s="37"/>
      <c r="C30" s="869"/>
      <c r="D30" s="869"/>
      <c r="E30" s="869"/>
      <c r="F30" s="869"/>
      <c r="G30" s="869"/>
      <c r="H30" s="869"/>
      <c r="I30" s="869"/>
      <c r="J30" s="869"/>
      <c r="K30" s="869"/>
      <c r="L30" s="869"/>
      <c r="M30" s="863"/>
      <c r="N30" s="299"/>
      <c r="O30" s="9">
        <f>IF(AND(menu!$U$5=TRUE,AND(OR(C30="",LEFT(C30,3)="Bsp")),N30&gt;0),1,IF(N30&gt;300,0.05,0))</f>
        <v>0</v>
      </c>
    </row>
    <row r="31" spans="2:16" ht="15.75" customHeight="1" thickBot="1" x14ac:dyDescent="0.3">
      <c r="C31" s="867" t="str">
        <f>IF(AND(SUM(O24:O30)&gt;0,SUM(O24:O30)&lt;1),"Bitte erläutern Sie die ungewöhnlich hohen Ausgaben im Tabellenblatt 'Anmerkungen'.","")</f>
        <v/>
      </c>
      <c r="D31" s="867"/>
      <c r="E31" s="867"/>
      <c r="F31" s="867"/>
      <c r="G31" s="867"/>
      <c r="H31" s="867"/>
      <c r="I31" s="867"/>
      <c r="J31" s="867"/>
      <c r="K31" s="867"/>
      <c r="L31" s="868"/>
      <c r="M31" s="298" t="s">
        <v>17</v>
      </c>
      <c r="N31" s="300">
        <f>SUM(N24:N30)</f>
        <v>0</v>
      </c>
    </row>
    <row r="32" spans="2:16" ht="12.75" customHeight="1" thickBot="1" x14ac:dyDescent="0.3">
      <c r="P32" s="11"/>
    </row>
    <row r="33" spans="2:27" ht="15" customHeight="1" x14ac:dyDescent="0.25">
      <c r="C33" s="864"/>
      <c r="D33" s="831" t="s">
        <v>496</v>
      </c>
      <c r="E33" s="831"/>
      <c r="F33" s="831"/>
      <c r="G33" s="831"/>
      <c r="H33" s="831"/>
      <c r="I33" s="831"/>
      <c r="J33" s="831"/>
      <c r="K33" s="831"/>
      <c r="L33" s="831"/>
      <c r="M33" s="831"/>
      <c r="N33" s="832"/>
      <c r="O33" s="671">
        <f>IF(AND(menu!$U$5=TRUE,N31&gt;0,menu!B42=FALSE),1,0)</f>
        <v>0</v>
      </c>
    </row>
    <row r="34" spans="2:27" ht="15" customHeight="1" x14ac:dyDescent="0.25">
      <c r="C34" s="865"/>
      <c r="D34" s="858"/>
      <c r="E34" s="858"/>
      <c r="F34" s="858"/>
      <c r="G34" s="858"/>
      <c r="H34" s="858"/>
      <c r="I34" s="858"/>
      <c r="J34" s="858"/>
      <c r="K34" s="858"/>
      <c r="L34" s="858"/>
      <c r="M34" s="858"/>
      <c r="N34" s="859"/>
      <c r="O34" s="671"/>
    </row>
    <row r="35" spans="2:27" ht="15" customHeight="1" thickBot="1" x14ac:dyDescent="0.3">
      <c r="C35" s="866"/>
      <c r="D35" s="833"/>
      <c r="E35" s="833"/>
      <c r="F35" s="833"/>
      <c r="G35" s="833"/>
      <c r="H35" s="833"/>
      <c r="I35" s="833"/>
      <c r="J35" s="833"/>
      <c r="K35" s="833"/>
      <c r="L35" s="833"/>
      <c r="M35" s="833"/>
      <c r="N35" s="834"/>
    </row>
    <row r="36" spans="2:27" ht="14.25" customHeight="1" x14ac:dyDescent="0.25"/>
    <row r="37" spans="2:27" ht="14.25" customHeight="1" thickBot="1" x14ac:dyDescent="0.35">
      <c r="C37" s="296" t="s">
        <v>212</v>
      </c>
      <c r="D37" s="296"/>
      <c r="E37" s="296"/>
      <c r="F37" s="296"/>
      <c r="G37" s="296"/>
      <c r="H37" s="296"/>
      <c r="I37" s="296"/>
      <c r="J37" s="296"/>
      <c r="K37" s="296"/>
      <c r="L37" s="296"/>
      <c r="M37" s="296"/>
      <c r="N37" s="296"/>
      <c r="R37" s="853"/>
      <c r="S37" s="853"/>
      <c r="T37" s="853"/>
      <c r="U37" s="853"/>
      <c r="V37" s="853"/>
      <c r="W37" s="853"/>
      <c r="X37" s="853"/>
    </row>
    <row r="38" spans="2:27" ht="14.25" customHeight="1" x14ac:dyDescent="0.25">
      <c r="B38" s="37"/>
      <c r="C38" s="305" t="s">
        <v>32</v>
      </c>
      <c r="D38" s="305"/>
      <c r="E38" s="305"/>
      <c r="F38" s="305"/>
      <c r="G38" s="305"/>
      <c r="H38" s="305"/>
      <c r="I38" s="305"/>
      <c r="J38" s="305"/>
      <c r="K38" s="305"/>
      <c r="L38" s="305"/>
      <c r="M38" s="306"/>
      <c r="N38" s="301" t="s">
        <v>11</v>
      </c>
    </row>
    <row r="39" spans="2:27" ht="14.25" customHeight="1" x14ac:dyDescent="0.25">
      <c r="B39" s="37"/>
      <c r="C39" s="253" t="s">
        <v>85</v>
      </c>
      <c r="D39" s="253"/>
      <c r="E39" s="253"/>
      <c r="F39" s="253"/>
      <c r="G39" s="253"/>
      <c r="H39" s="253"/>
      <c r="I39" s="253"/>
      <c r="J39" s="253"/>
      <c r="K39" s="253"/>
      <c r="L39" s="253"/>
      <c r="M39" s="254"/>
      <c r="N39" s="192"/>
      <c r="O39" s="9">
        <f>IF(AND(menu!$U$5=TRUE,N39&gt;3000),0.5,0)</f>
        <v>0</v>
      </c>
    </row>
    <row r="40" spans="2:27" ht="14.25" customHeight="1" thickBot="1" x14ac:dyDescent="0.3">
      <c r="B40" s="37"/>
      <c r="C40" s="838"/>
      <c r="D40" s="838"/>
      <c r="E40" s="838"/>
      <c r="F40" s="838"/>
      <c r="G40" s="838"/>
      <c r="H40" s="838"/>
      <c r="I40" s="838"/>
      <c r="J40" s="838"/>
      <c r="K40" s="838"/>
      <c r="L40" s="838"/>
      <c r="M40" s="839"/>
      <c r="N40" s="75"/>
      <c r="O40" s="9">
        <f>IF(AND(menu!$U$5=TRUE,N40&gt;3000),0.5,0)</f>
        <v>0</v>
      </c>
    </row>
    <row r="41" spans="2:27" ht="14.25" customHeight="1" thickBot="1" x14ac:dyDescent="0.3"/>
    <row r="42" spans="2:27" ht="14.25" customHeight="1" x14ac:dyDescent="0.25">
      <c r="C42" s="836"/>
      <c r="D42" s="831" t="s">
        <v>295</v>
      </c>
      <c r="E42" s="831"/>
      <c r="F42" s="831"/>
      <c r="G42" s="831"/>
      <c r="H42" s="831"/>
      <c r="I42" s="831"/>
      <c r="J42" s="831"/>
      <c r="K42" s="831"/>
      <c r="L42" s="831"/>
      <c r="M42" s="831"/>
      <c r="N42" s="832"/>
      <c r="O42" s="671">
        <f>IF(AND(menu!$U$5=TRUE,OR(N39&gt;0, N40&gt;0, N18&gt;0, N31&gt;0),menu!B43=FALSE),1,0)</f>
        <v>0</v>
      </c>
    </row>
    <row r="43" spans="2:27" ht="29.25" customHeight="1" thickBot="1" x14ac:dyDescent="0.3">
      <c r="C43" s="837"/>
      <c r="D43" s="833"/>
      <c r="E43" s="833"/>
      <c r="F43" s="833"/>
      <c r="G43" s="833"/>
      <c r="H43" s="833"/>
      <c r="I43" s="833"/>
      <c r="J43" s="833"/>
      <c r="K43" s="833"/>
      <c r="L43" s="833"/>
      <c r="M43" s="833"/>
      <c r="N43" s="834"/>
      <c r="O43" s="671"/>
    </row>
    <row r="44" spans="2:27" ht="6" customHeight="1" x14ac:dyDescent="0.25">
      <c r="C44" s="835"/>
      <c r="D44" s="835"/>
      <c r="E44" s="835"/>
      <c r="F44" s="835"/>
      <c r="G44" s="835"/>
      <c r="H44" s="835"/>
      <c r="I44" s="835"/>
      <c r="J44" s="835"/>
      <c r="K44" s="835"/>
      <c r="L44" s="835"/>
      <c r="M44" s="835"/>
      <c r="N44" s="835"/>
      <c r="O44" s="9"/>
    </row>
    <row r="45" spans="2:27" ht="6" customHeight="1" x14ac:dyDescent="0.25">
      <c r="T45" s="3"/>
      <c r="U45" s="3"/>
      <c r="V45" s="3"/>
      <c r="W45" s="3"/>
      <c r="X45" s="3"/>
      <c r="Y45" s="12"/>
      <c r="AA45" s="3"/>
    </row>
    <row r="46" spans="2:27" ht="12" customHeight="1" thickBot="1" x14ac:dyDescent="0.3">
      <c r="C46" s="792" t="s">
        <v>96</v>
      </c>
      <c r="D46" s="792"/>
      <c r="E46" s="792"/>
      <c r="F46" s="792"/>
      <c r="G46" s="792"/>
      <c r="H46" s="792"/>
      <c r="I46" s="792"/>
      <c r="J46" s="792"/>
      <c r="K46" s="792"/>
      <c r="L46" s="792"/>
      <c r="M46" s="792"/>
      <c r="N46" s="792"/>
      <c r="T46" s="3"/>
      <c r="U46" s="3"/>
      <c r="V46" s="3"/>
      <c r="W46" s="3"/>
      <c r="X46" s="3"/>
      <c r="Y46" s="12"/>
      <c r="AA46" s="3"/>
    </row>
    <row r="47" spans="2:27" ht="15" customHeight="1" x14ac:dyDescent="0.25">
      <c r="C47" s="846" t="s">
        <v>18</v>
      </c>
      <c r="D47" s="843"/>
      <c r="E47" s="842" t="s">
        <v>32</v>
      </c>
      <c r="F47" s="843"/>
      <c r="G47" s="65" t="str">
        <f>Personal!E50</f>
        <v>Projektjahr 1</v>
      </c>
      <c r="H47" s="849" t="str">
        <f>Personal!F50</f>
        <v>Projektjahr 2</v>
      </c>
      <c r="I47" s="850"/>
      <c r="J47" s="849" t="str">
        <f>Personal!G50</f>
        <v>Projektjahr 3</v>
      </c>
      <c r="K47" s="850"/>
      <c r="L47" s="65" t="str">
        <f>Personal!H50</f>
        <v>Projektjahr 4</v>
      </c>
      <c r="M47" s="77" t="s">
        <v>6</v>
      </c>
      <c r="N47" s="76" t="s">
        <v>90</v>
      </c>
      <c r="T47" s="3"/>
      <c r="U47" s="3"/>
      <c r="V47" s="3"/>
      <c r="W47" s="3"/>
      <c r="X47" s="3"/>
      <c r="Y47" s="12"/>
      <c r="AA47" s="3"/>
    </row>
    <row r="48" spans="2:27" ht="15" customHeight="1" x14ac:dyDescent="0.25">
      <c r="C48" s="847" t="s">
        <v>41</v>
      </c>
      <c r="D48" s="848"/>
      <c r="E48" s="844" t="str">
        <f>LEFT(C10,15)</f>
        <v>Geschäftsbedarf</v>
      </c>
      <c r="F48" s="845"/>
      <c r="G48" s="74"/>
      <c r="H48" s="787"/>
      <c r="I48" s="825"/>
      <c r="J48" s="787"/>
      <c r="K48" s="825"/>
      <c r="L48" s="74"/>
      <c r="M48" s="79">
        <f>IF(menu!U5=TRUE,N18,0)</f>
        <v>0</v>
      </c>
      <c r="N48" s="159">
        <f>N18-SUM(G48:L48)</f>
        <v>0</v>
      </c>
      <c r="O48" s="9">
        <f>IF(AND(menu!$U$5=TRUE,N48&lt;&gt;0),1,0)</f>
        <v>0</v>
      </c>
      <c r="Q48" s="13"/>
      <c r="R48" s="13"/>
      <c r="S48" s="13"/>
      <c r="T48" s="13"/>
      <c r="U48" s="13"/>
      <c r="V48" s="9"/>
      <c r="X48" s="3"/>
    </row>
    <row r="49" spans="3:24" ht="15" customHeight="1" x14ac:dyDescent="0.25">
      <c r="C49" s="847" t="s">
        <v>42</v>
      </c>
      <c r="D49" s="848"/>
      <c r="E49" s="844" t="str">
        <f>LEFT(C22,9)</f>
        <v>Literatur</v>
      </c>
      <c r="F49" s="845"/>
      <c r="G49" s="74"/>
      <c r="H49" s="787"/>
      <c r="I49" s="825"/>
      <c r="J49" s="787"/>
      <c r="K49" s="825"/>
      <c r="L49" s="74"/>
      <c r="M49" s="79">
        <f>IF(menu!U5=TRUE,N31,0)</f>
        <v>0</v>
      </c>
      <c r="N49" s="159">
        <f>N31-SUM(G49:L49)</f>
        <v>0</v>
      </c>
      <c r="O49" s="9">
        <f>IF(AND(menu!$U$5=TRUE,N49&lt;&gt;0),1,0)</f>
        <v>0</v>
      </c>
      <c r="Q49" s="13"/>
      <c r="R49" s="13"/>
      <c r="S49" s="13"/>
      <c r="T49" s="13"/>
      <c r="U49" s="13"/>
      <c r="V49" s="9"/>
      <c r="X49" s="3"/>
    </row>
    <row r="50" spans="3:24" ht="15" customHeight="1" thickBot="1" x14ac:dyDescent="0.3">
      <c r="C50" s="826" t="s">
        <v>89</v>
      </c>
      <c r="D50" s="827"/>
      <c r="E50" s="828" t="str">
        <f>LEFT(C37,21)</f>
        <v xml:space="preserve">Weitere Sachausgaben </v>
      </c>
      <c r="F50" s="829"/>
      <c r="G50" s="80"/>
      <c r="H50" s="823"/>
      <c r="I50" s="830"/>
      <c r="J50" s="823"/>
      <c r="K50" s="830"/>
      <c r="L50" s="80"/>
      <c r="M50" s="81">
        <f>IF(menu!U5=TRUE,N39 + N40,0)</f>
        <v>0</v>
      </c>
      <c r="N50" s="159">
        <f t="shared" ref="N50" si="0">M50-SUM(G50:L50)</f>
        <v>0</v>
      </c>
      <c r="O50" s="9">
        <f>IF(AND(menu!$U$5=TRUE,N50&lt;&gt;0),1,0)</f>
        <v>0</v>
      </c>
      <c r="Q50" s="8"/>
      <c r="R50" s="8"/>
      <c r="S50" s="8"/>
      <c r="T50" s="8"/>
      <c r="U50" s="8"/>
      <c r="V50" s="9"/>
    </row>
    <row r="51" spans="3:24" ht="6" customHeight="1" x14ac:dyDescent="0.25">
      <c r="C51" s="69"/>
      <c r="D51" s="69"/>
      <c r="E51" s="70"/>
      <c r="F51" s="70"/>
      <c r="G51" s="170"/>
      <c r="H51" s="170"/>
      <c r="I51" s="170"/>
      <c r="J51" s="170"/>
      <c r="K51" s="170"/>
      <c r="L51" s="169"/>
      <c r="M51" s="71"/>
      <c r="N51" s="72"/>
      <c r="Q51" s="8"/>
      <c r="R51" s="8"/>
      <c r="S51" s="8"/>
      <c r="T51" s="8"/>
      <c r="U51" s="8"/>
      <c r="V51" s="9"/>
    </row>
    <row r="52" spans="3:24" ht="12.75" customHeight="1" x14ac:dyDescent="0.25">
      <c r="C52" s="722" t="s">
        <v>183</v>
      </c>
      <c r="D52" s="722"/>
      <c r="E52" s="722"/>
      <c r="F52" s="722"/>
      <c r="G52" s="722"/>
      <c r="H52" s="722"/>
      <c r="I52" s="722"/>
      <c r="J52" s="722"/>
      <c r="K52" s="722"/>
      <c r="L52" s="722"/>
      <c r="M52" s="722"/>
      <c r="N52" s="722"/>
      <c r="O52" s="722"/>
      <c r="P52" s="722"/>
      <c r="Q52" s="8"/>
      <c r="R52" s="8"/>
      <c r="S52" s="8"/>
      <c r="T52" s="8"/>
      <c r="U52" s="8"/>
      <c r="V52" s="9"/>
    </row>
    <row r="53" spans="3:24" ht="15.75" customHeight="1" x14ac:dyDescent="0.25">
      <c r="C53" s="840" t="str">
        <f>Basisdaten!C46</f>
        <v>Vorhabenbeschreibung 
4.1.10 a): Erstellung eines 
Fokuskonzeptes 2509_V3</v>
      </c>
      <c r="D53" s="841"/>
      <c r="E53" s="841"/>
      <c r="F53" s="841"/>
      <c r="G53" s="841"/>
      <c r="H53" s="841"/>
      <c r="I53" s="841"/>
      <c r="J53" s="841"/>
      <c r="K53" s="841"/>
      <c r="L53" s="841"/>
      <c r="M53" s="841"/>
      <c r="N53" s="841"/>
      <c r="Q53" s="8"/>
      <c r="R53" s="8"/>
      <c r="S53" s="8"/>
      <c r="T53" s="8"/>
      <c r="U53" s="8"/>
      <c r="V53" s="9"/>
    </row>
    <row r="54" spans="3:24" ht="6.75" customHeight="1" x14ac:dyDescent="0.25">
      <c r="Q54" s="10"/>
      <c r="R54" s="3"/>
      <c r="S54" s="3"/>
      <c r="T54" s="3"/>
      <c r="U54" s="3"/>
      <c r="V54" s="3"/>
      <c r="W54" s="3"/>
      <c r="X54" s="3"/>
    </row>
    <row r="56" spans="3:24" x14ac:dyDescent="0.25">
      <c r="E56" s="5"/>
      <c r="F56" s="5"/>
      <c r="G56" s="5"/>
    </row>
  </sheetData>
  <sheetProtection selectLockedCells="1"/>
  <customSheetViews>
    <customSheetView guid="{68ABA936-E0C3-4F62-AA1D-4FD1F5462098}" showPageBreaks="1" showGridLines="0" showRowCol="0" fitToPage="1" printArea="1" view="pageBreakPreview">
      <selection activeCell="C31" sqref="C31:M31"/>
      <pageMargins left="0.39370078740157483" right="0.39370078740157483" top="0.39370078740157483" bottom="0.39370078740157483" header="0" footer="0"/>
      <printOptions horizontalCentered="1"/>
      <pageSetup paperSize="9" scale="81" orientation="portrait" r:id="rId1"/>
    </customSheetView>
  </customSheetViews>
  <mergeCells count="54">
    <mergeCell ref="C28:M28"/>
    <mergeCell ref="C29:M29"/>
    <mergeCell ref="C30:M30"/>
    <mergeCell ref="C3:F4"/>
    <mergeCell ref="G3:I4"/>
    <mergeCell ref="E17:M17"/>
    <mergeCell ref="C11:M11"/>
    <mergeCell ref="C12:M12"/>
    <mergeCell ref="C13:M13"/>
    <mergeCell ref="C14:M14"/>
    <mergeCell ref="C15:M15"/>
    <mergeCell ref="C16:D16"/>
    <mergeCell ref="E16:M16"/>
    <mergeCell ref="T8:AB8"/>
    <mergeCell ref="R37:X37"/>
    <mergeCell ref="C22:N22"/>
    <mergeCell ref="C10:N10"/>
    <mergeCell ref="C20:N20"/>
    <mergeCell ref="C17:D17"/>
    <mergeCell ref="D33:N35"/>
    <mergeCell ref="C19:N19"/>
    <mergeCell ref="C23:M23"/>
    <mergeCell ref="C24:M24"/>
    <mergeCell ref="C25:M25"/>
    <mergeCell ref="C33:C35"/>
    <mergeCell ref="C31:L31"/>
    <mergeCell ref="C18:L18"/>
    <mergeCell ref="C26:M26"/>
    <mergeCell ref="C27:M27"/>
    <mergeCell ref="C53:N53"/>
    <mergeCell ref="E47:F47"/>
    <mergeCell ref="E48:F48"/>
    <mergeCell ref="E49:F49"/>
    <mergeCell ref="C47:D47"/>
    <mergeCell ref="C48:D48"/>
    <mergeCell ref="C49:D49"/>
    <mergeCell ref="H47:I47"/>
    <mergeCell ref="H48:I48"/>
    <mergeCell ref="H49:I49"/>
    <mergeCell ref="J47:K47"/>
    <mergeCell ref="J48:K48"/>
    <mergeCell ref="C52:P52"/>
    <mergeCell ref="O33:O34"/>
    <mergeCell ref="J49:K49"/>
    <mergeCell ref="C50:D50"/>
    <mergeCell ref="E50:F50"/>
    <mergeCell ref="H50:I50"/>
    <mergeCell ref="J50:K50"/>
    <mergeCell ref="D42:N43"/>
    <mergeCell ref="C46:N46"/>
    <mergeCell ref="O42:O43"/>
    <mergeCell ref="C44:N44"/>
    <mergeCell ref="C42:C43"/>
    <mergeCell ref="C40:M40"/>
  </mergeCells>
  <conditionalFormatting sqref="C24:C30">
    <cfRule type="expression" dxfId="116" priority="129">
      <formula>C24&lt;&gt;""</formula>
    </cfRule>
  </conditionalFormatting>
  <conditionalFormatting sqref="C40">
    <cfRule type="expression" dxfId="115" priority="13">
      <formula>C40&lt;&gt;""</formula>
    </cfRule>
  </conditionalFormatting>
  <conditionalFormatting sqref="C25:D30">
    <cfRule type="expression" dxfId="113" priority="176">
      <formula>N25&gt;0</formula>
    </cfRule>
  </conditionalFormatting>
  <conditionalFormatting sqref="C40:D40">
    <cfRule type="expression" dxfId="112" priority="15">
      <formula>N40&gt;0</formula>
    </cfRule>
  </conditionalFormatting>
  <conditionalFormatting sqref="C24:M24">
    <cfRule type="expression" dxfId="110" priority="869">
      <formula>$N$24&gt;0</formula>
    </cfRule>
  </conditionalFormatting>
  <conditionalFormatting sqref="C24:M30">
    <cfRule type="expression" dxfId="109" priority="10">
      <formula>LEFT(C24,3)="Bsp"</formula>
    </cfRule>
  </conditionalFormatting>
  <conditionalFormatting sqref="C40:M40">
    <cfRule type="expression" dxfId="108" priority="16">
      <formula>LEFT(C40,3)="Bsp"</formula>
    </cfRule>
  </conditionalFormatting>
  <conditionalFormatting sqref="E16">
    <cfRule type="expression" dxfId="103" priority="8">
      <formula>$E$16&lt;&gt;""</formula>
    </cfRule>
    <cfRule type="expression" dxfId="102" priority="9">
      <formula>$N$16&gt;0</formula>
    </cfRule>
  </conditionalFormatting>
  <conditionalFormatting sqref="E16:E17">
    <cfRule type="expression" dxfId="101" priority="6">
      <formula>E16&gt;0</formula>
    </cfRule>
  </conditionalFormatting>
  <conditionalFormatting sqref="E17">
    <cfRule type="expression" dxfId="100" priority="197">
      <formula>$E$17&lt;&gt;""</formula>
    </cfRule>
    <cfRule type="expression" dxfId="99" priority="198">
      <formula>$N$17&gt;0</formula>
    </cfRule>
  </conditionalFormatting>
  <conditionalFormatting sqref="E24:M30">
    <cfRule type="expression" dxfId="98" priority="868">
      <formula>Q36&gt;0</formula>
    </cfRule>
  </conditionalFormatting>
  <conditionalFormatting sqref="E40:M40">
    <cfRule type="expression" dxfId="97" priority="18">
      <formula>Q51&gt;0</formula>
    </cfRule>
  </conditionalFormatting>
  <conditionalFormatting sqref="G49:H49 J49">
    <cfRule type="expression" dxfId="95" priority="364">
      <formula>AND($N$49=0,$M$49&lt;&gt;0)</formula>
    </cfRule>
    <cfRule type="expression" dxfId="94" priority="365">
      <formula>$N$49&lt;&gt;0</formula>
    </cfRule>
  </conditionalFormatting>
  <conditionalFormatting sqref="G50:H50 J50">
    <cfRule type="expression" dxfId="93" priority="367">
      <formula>$N$50&lt;&gt;0</formula>
    </cfRule>
    <cfRule type="expression" dxfId="92" priority="366">
      <formula>AND($N$50=0,$M$50&lt;&gt;0)</formula>
    </cfRule>
  </conditionalFormatting>
  <conditionalFormatting sqref="G48:J48">
    <cfRule type="expression" dxfId="91" priority="369">
      <formula>$N$48&lt;&gt;0</formula>
    </cfRule>
    <cfRule type="expression" dxfId="90" priority="368">
      <formula>AND($N$48=0,$M$48&lt;&gt;0)</formula>
    </cfRule>
  </conditionalFormatting>
  <conditionalFormatting sqref="L48">
    <cfRule type="expression" dxfId="88" priority="214">
      <formula>$N$48&lt;&gt;0</formula>
    </cfRule>
    <cfRule type="expression" dxfId="87" priority="213">
      <formula>AND($N$48=0,$M$48&lt;&gt;0)</formula>
    </cfRule>
  </conditionalFormatting>
  <conditionalFormatting sqref="L49">
    <cfRule type="expression" dxfId="86" priority="209">
      <formula>AND($N$49=0,$M$49&lt;&gt;0)</formula>
    </cfRule>
    <cfRule type="expression" dxfId="85" priority="210">
      <formula>$N$49&lt;&gt;0</formula>
    </cfRule>
  </conditionalFormatting>
  <conditionalFormatting sqref="L50">
    <cfRule type="expression" dxfId="84" priority="211">
      <formula>AND($N$50=0,$M$50&lt;&gt;0)</formula>
    </cfRule>
    <cfRule type="expression" dxfId="83" priority="212">
      <formula>$N$50&lt;&gt;0</formula>
    </cfRule>
  </conditionalFormatting>
  <conditionalFormatting sqref="N12:N17">
    <cfRule type="expression" dxfId="82" priority="215">
      <formula>N12&gt;0</formula>
    </cfRule>
  </conditionalFormatting>
  <conditionalFormatting sqref="N24">
    <cfRule type="expression" dxfId="81" priority="329">
      <formula>$N$24&gt;0</formula>
    </cfRule>
  </conditionalFormatting>
  <conditionalFormatting sqref="N25">
    <cfRule type="expression" dxfId="80" priority="328">
      <formula>$N$25&gt;0</formula>
    </cfRule>
  </conditionalFormatting>
  <conditionalFormatting sqref="N26">
    <cfRule type="expression" dxfId="79" priority="327">
      <formula>$N$26&gt;0</formula>
    </cfRule>
  </conditionalFormatting>
  <conditionalFormatting sqref="N27">
    <cfRule type="expression" dxfId="78" priority="326">
      <formula>$N$27&gt;0</formula>
    </cfRule>
  </conditionalFormatting>
  <conditionalFormatting sqref="N28">
    <cfRule type="expression" dxfId="77" priority="325">
      <formula>$N$28&gt;0</formula>
    </cfRule>
  </conditionalFormatting>
  <conditionalFormatting sqref="N29">
    <cfRule type="expression" dxfId="76" priority="324">
      <formula>$N$29&gt;0</formula>
    </cfRule>
  </conditionalFormatting>
  <conditionalFormatting sqref="N30">
    <cfRule type="expression" dxfId="75" priority="323">
      <formula>$N$30&gt;0</formula>
    </cfRule>
  </conditionalFormatting>
  <conditionalFormatting sqref="N39">
    <cfRule type="expression" dxfId="74" priority="315">
      <formula>$N$39&gt;1500</formula>
    </cfRule>
    <cfRule type="expression" dxfId="73" priority="316">
      <formula>$N$39&gt;0</formula>
    </cfRule>
  </conditionalFormatting>
  <conditionalFormatting sqref="N40">
    <cfRule type="expression" dxfId="72" priority="125">
      <formula>AND($N$40&gt;0,$N$40&lt;1500)</formula>
    </cfRule>
  </conditionalFormatting>
  <conditionalFormatting sqref="N47">
    <cfRule type="expression" dxfId="71" priority="1974">
      <formula>SUM($N$48:$N$50)=0</formula>
    </cfRule>
  </conditionalFormatting>
  <conditionalFormatting sqref="N48:N50">
    <cfRule type="expression" dxfId="70" priority="156">
      <formula>N48=0</formula>
    </cfRule>
    <cfRule type="expression" dxfId="69" priority="357">
      <formula>N48&lt;&gt;0</formula>
    </cfRule>
  </conditionalFormatting>
  <conditionalFormatting sqref="N51">
    <cfRule type="expression" dxfId="68" priority="362">
      <formula>$M$50=0</formula>
    </cfRule>
    <cfRule type="expression" dxfId="67" priority="363">
      <formula>N51&lt;&gt;0</formula>
    </cfRule>
  </conditionalFormatting>
  <dataValidations xWindow="949" yWindow="650" count="5">
    <dataValidation type="decimal" errorStyle="information" allowBlank="1" showInputMessage="1" showErrorMessage="1" errorTitle="Achtung" error="Die Höhe der Ausgaben scheint recht hoch zu sein. Bitte erläutern Sie die Ausgaben im Tabellenbaltt &quot;Anmerkungen&quot;." sqref="N39" xr:uid="{00000000-0002-0000-0E00-000000000000}">
      <formula1>0</formula1>
      <formula2>1500</formula2>
    </dataValidation>
    <dataValidation type="decimal" operator="greaterThan" allowBlank="1" showInputMessage="1" showErrorMessage="1" promptTitle="Hinweis:" prompt="Wenn Sie Ausgaben für &quot;Sonstiges&quot; einplanen, bitten wir um Nennung im Feld links." sqref="N17" xr:uid="{00000000-0002-0000-0E00-000001000000}">
      <formula1>0</formula1>
    </dataValidation>
    <dataValidation type="decimal" errorStyle="information" allowBlank="1" showErrorMessage="1" errorTitle="Achtung" error="Die Höhe der Ausgaben scheint recht hoch zu sein. Bitte erläutern Sie die Ausgaben im Tabellenbaltt &quot;Anmerkungen&quot;." promptTitle="Hinweis:" prompt="Beachten Sie, dass Fernmeldegebühren nur dann zuwendungsfähig sind, wenn die Ausgaben nachweislich dem Vorhaben zuzuordnen sind und ein Einzelverbindungsnachweis auf Anfrage vorgelegt werden kann. Bitte beachten Sie dabei Ihre Datenschutzbestimmungen." sqref="N40" xr:uid="{00000000-0002-0000-0E00-000002000000}">
      <formula1>0</formula1>
      <formula2>210</formula2>
    </dataValidation>
    <dataValidation type="decimal" operator="greaterThanOrEqual" allowBlank="1" showInputMessage="1" showErrorMessage="1" promptTitle="Hinweis:" prompt="Bitte tragen Sie selbstständig die Verteilung der Ausgaben über den Projektzeitraum ein." sqref="G48:G50" xr:uid="{00000000-0002-0000-0E00-000003000000}">
      <formula1>0</formula1>
    </dataValidation>
    <dataValidation allowBlank="1" showInputMessage="1" showErrorMessage="1" promptTitle="Achtung:" prompt="Ausgaben für Fernmeldegebühren (Internet, Telefon, etc.) sind nicht zuwendungsfähig. " sqref="C40:M40" xr:uid="{00000000-0002-0000-0E00-000004000000}"/>
  </dataValidations>
  <printOptions horizontalCentered="1"/>
  <pageMargins left="0.39370078740157483" right="0.19685039370078741" top="0.19685039370078741" bottom="0.19685039370078741" header="0" footer="0"/>
  <pageSetup paperSize="9" scale="8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6" r:id="rId5" name="CB_ws1">
              <controlPr defaultSize="0" autoFill="0" autoLine="0" autoPict="0">
                <anchor moveWithCells="1">
                  <from>
                    <xdr:col>2</xdr:col>
                    <xdr:colOff>76200</xdr:colOff>
                    <xdr:row>33</xdr:row>
                    <xdr:rowOff>12700</xdr:rowOff>
                  </from>
                  <to>
                    <xdr:col>2</xdr:col>
                    <xdr:colOff>279400</xdr:colOff>
                    <xdr:row>33</xdr:row>
                    <xdr:rowOff>184150</xdr:rowOff>
                  </to>
                </anchor>
              </controlPr>
            </control>
          </mc:Choice>
        </mc:AlternateContent>
        <mc:AlternateContent xmlns:mc="http://schemas.openxmlformats.org/markup-compatibility/2006">
          <mc:Choice Requires="x14">
            <control shapeId="8197" r:id="rId6" name="CB_ws2">
              <controlPr defaultSize="0" autoFill="0" autoLine="0" autoPict="0">
                <anchor moveWithCells="1">
                  <from>
                    <xdr:col>2</xdr:col>
                    <xdr:colOff>88900</xdr:colOff>
                    <xdr:row>42</xdr:row>
                    <xdr:rowOff>19050</xdr:rowOff>
                  </from>
                  <to>
                    <xdr:col>2</xdr:col>
                    <xdr:colOff>279400</xdr:colOff>
                    <xdr:row>42</xdr:row>
                    <xdr:rowOff>171450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127000</xdr:colOff>
                    <xdr:row>3</xdr:row>
                    <xdr:rowOff>95250</xdr:rowOff>
                  </from>
                  <to>
                    <xdr:col>5</xdr:col>
                    <xdr:colOff>203200</xdr:colOff>
                    <xdr:row>4</xdr:row>
                    <xdr:rowOff>50800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D274CBDA-9C68-4CEE-A160-D2C84ABB4E28}">
            <xm:f>menu!$U$4=FALSE</xm:f>
            <x14:dxf>
              <font>
                <color theme="0"/>
              </font>
              <fill>
                <patternFill>
                  <fgColor theme="0"/>
                  <bgColor theme="0"/>
                </patternFill>
              </fill>
              <border>
                <left/>
                <right/>
                <top/>
                <bottom/>
                <vertical/>
                <horizontal/>
              </border>
            </x14:dxf>
          </x14:cfRule>
          <xm:sqref>C52</xm:sqref>
        </x14:conditionalFormatting>
        <x14:conditionalFormatting xmlns:xm="http://schemas.microsoft.com/office/excel/2006/main">
          <x14:cfRule type="expression" priority="3" id="{E6762EE0-4E8C-40F9-A1E5-59873907E7CA}">
            <xm:f>'C:\KKS\Fachliche-Schwerpunkte\06_Kommune\11_Excel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C6:E6</xm:sqref>
        </x14:conditionalFormatting>
        <x14:conditionalFormatting xmlns:xm="http://schemas.microsoft.com/office/excel/2006/main">
          <x14:cfRule type="expression" priority="24" id="{4924DC73-6914-46F3-BC48-BEE285517B7F}">
            <xm:f>menu!$B$42=TRUE</xm:f>
            <x14:dxf>
              <fill>
                <patternFill>
                  <bgColor rgb="FFEBF1DE"/>
                </patternFill>
              </fill>
            </x14:dxf>
          </x14:cfRule>
          <x14:cfRule type="expression" priority="155" id="{E289F1E4-45D3-4E80-AFD4-7B2DE939D711}">
            <xm:f>AND($N$31&gt;0,menu!B42=FALSE)</xm:f>
            <x14:dxf>
              <fill>
                <patternFill>
                  <bgColor rgb="FFE3B5A2"/>
                </patternFill>
              </fill>
            </x14:dxf>
          </x14:cfRule>
          <xm:sqref>C33:N35</xm:sqref>
        </x14:conditionalFormatting>
        <x14:conditionalFormatting xmlns:xm="http://schemas.microsoft.com/office/excel/2006/main">
          <x14:cfRule type="expression" priority="23" id="{B3B05750-F179-4DEB-9CA2-ED8556F3ED22}">
            <xm:f>menu!$B$43=TRUE</xm:f>
            <x14:dxf>
              <fill>
                <patternFill>
                  <bgColor rgb="FFEBF1DE"/>
                </patternFill>
              </fill>
            </x14:dxf>
          </x14:cfRule>
          <x14:cfRule type="expression" priority="154" id="{E774A998-D3A1-431D-8A62-BCCD8F70CEC3}">
            <xm:f>AND(SUM($N$39:$N$40)&gt;0,menu!B43=FALSE)</xm:f>
            <x14:dxf>
              <fill>
                <patternFill>
                  <bgColor rgb="FFE3B5A2"/>
                </patternFill>
              </fill>
            </x14:dxf>
          </x14:cfRule>
          <xm:sqref>C42:N43</xm:sqref>
        </x14:conditionalFormatting>
        <x14:conditionalFormatting xmlns:xm="http://schemas.microsoft.com/office/excel/2006/main">
          <x14:cfRule type="expression" priority="2" id="{5984B91F-B6C0-412A-95D4-8B22D0899AC2}">
            <xm:f>'C:\KKS\Fachliche-Schwerpunkte\06_Kommune\11_Excel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G6:H6</xm:sqref>
        </x14:conditionalFormatting>
        <x14:conditionalFormatting xmlns:xm="http://schemas.microsoft.com/office/excel/2006/main">
          <x14:cfRule type="iconSet" priority="1" id="{0510D6BF-1BF6-4537-9BD5-06AA5204402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H6</xm:sqref>
        </x14:conditionalFormatting>
        <x14:conditionalFormatting xmlns:xm="http://schemas.microsoft.com/office/excel/2006/main">
          <x14:cfRule type="expression" priority="4" id="{17C1F9F4-8B49-4A1A-8A66-3ED717145540}">
            <xm:f>menu!$U$5=FALSE</xm:f>
            <x14:dxf>
              <font>
                <color theme="0"/>
              </font>
              <fill>
                <patternFill>
                  <fgColor theme="0"/>
                  <bgColor theme="0"/>
                </patternFill>
              </fill>
              <border>
                <left/>
                <right/>
                <top/>
                <bottom/>
                <vertical/>
                <horizontal/>
              </border>
            </x14:dxf>
          </x14:cfRule>
          <xm:sqref>J3:N7 C8:N15 C16:E17 N16:N17 C18:N20 C22:N31 C33:N35 C37:N40 C42:N44 C46:N51 C53:N53</xm:sqref>
        </x14:conditionalFormatting>
        <x14:conditionalFormatting xmlns:xm="http://schemas.microsoft.com/office/excel/2006/main">
          <x14:cfRule type="iconSet" priority="85" id="{ABF46BFF-CBFE-4D89-BDCE-72366BE18DB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O12:O17</xm:sqref>
        </x14:conditionalFormatting>
        <x14:conditionalFormatting xmlns:xm="http://schemas.microsoft.com/office/excel/2006/main">
          <x14:cfRule type="iconSet" priority="71" id="{B8A02D14-4B21-4FB8-8C59-B2F533D8647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O24:O30</xm:sqref>
        </x14:conditionalFormatting>
        <x14:conditionalFormatting xmlns:xm="http://schemas.microsoft.com/office/excel/2006/main">
          <x14:cfRule type="iconSet" priority="72" id="{66DB4B91-C3FD-45B1-AD2F-93EF14748AD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O33</xm:sqref>
        </x14:conditionalFormatting>
        <x14:conditionalFormatting xmlns:xm="http://schemas.microsoft.com/office/excel/2006/main">
          <x14:cfRule type="iconSet" priority="57" id="{3AF2B26B-88A5-4595-A364-EF22F2E96AB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O39:O40</xm:sqref>
        </x14:conditionalFormatting>
        <x14:conditionalFormatting xmlns:xm="http://schemas.microsoft.com/office/excel/2006/main">
          <x14:cfRule type="iconSet" priority="73" id="{4253305F-3AC9-4C05-849E-62C96414DA0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O42</xm:sqref>
        </x14:conditionalFormatting>
        <x14:conditionalFormatting xmlns:xm="http://schemas.microsoft.com/office/excel/2006/main">
          <x14:cfRule type="iconSet" priority="36" id="{FE2C8283-19E2-43FB-82AD-570F08BE468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O48</xm:sqref>
        </x14:conditionalFormatting>
        <x14:conditionalFormatting xmlns:xm="http://schemas.microsoft.com/office/excel/2006/main">
          <x14:cfRule type="iconSet" priority="35" id="{D8488C38-E387-44BE-9B65-E50F367229D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O49</xm:sqref>
        </x14:conditionalFormatting>
        <x14:conditionalFormatting xmlns:xm="http://schemas.microsoft.com/office/excel/2006/main">
          <x14:cfRule type="iconSet" priority="34" id="{595D7A21-1F4F-4175-8008-6BAB8D4E613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O50</xm:sqref>
        </x14:conditionalFormatting>
      </x14:conditionalFormattings>
    </ext>
    <ext xmlns:x14="http://schemas.microsoft.com/office/spreadsheetml/2009/9/main" uri="{CCE6A557-97BC-4b89-ADB6-D9C93CAAB3DF}">
      <x14:dataValidations xmlns:xm="http://schemas.microsoft.com/office/excel/2006/main" xWindow="949" yWindow="650" count="9">
        <x14:dataValidation type="custom" allowBlank="1" showErrorMessage="1" error="Ausgaben können nur für Jahre eingegeben werden, in denen ein Klimaschutzmanager eingestellt ist. " xr:uid="{00000000-0002-0000-0E00-000005000000}">
          <x14:formula1>
            <xm:f>Personal!G51&gt;0</xm:f>
          </x14:formula1>
          <xm:sqref>J48:K48</xm:sqref>
        </x14:dataValidation>
        <x14:dataValidation type="custom" allowBlank="1" showErrorMessage="1" error="Ausgaben können nur für Jahre eingegeben werden, in denen ein Klimaschutzmanager eingestellt ist. " xr:uid="{00000000-0002-0000-0E00-000006000000}">
          <x14:formula1>
            <xm:f>Personal!G51&gt;0</xm:f>
          </x14:formula1>
          <xm:sqref>J49:K49</xm:sqref>
        </x14:dataValidation>
        <x14:dataValidation type="custom" allowBlank="1" showErrorMessage="1" error="Ausgaben können nur für Jahre eingegeben werden, in denen ein Klimaschutzmanager eingestellt ist. " xr:uid="{00000000-0002-0000-0E00-000007000000}">
          <x14:formula1>
            <xm:f>Personal!G51&gt;0</xm:f>
          </x14:formula1>
          <xm:sqref>J50:K50</xm:sqref>
        </x14:dataValidation>
        <x14:dataValidation type="custom" operator="greaterThan" allowBlank="1" showInputMessage="1" showErrorMessage="1" errorTitle="Achtung:" error="Ausgaben können nur für Jahre eingegeben werden, in denen ein Klimaschutzmanager eingestellt ist. " promptTitle="Hinweis:" prompt="Bitte tragen Sie selbstständig die Verteilung der Ausgaben über den Projektzeitraum ein." xr:uid="{00000000-0002-0000-0E00-000008000000}">
          <x14:formula1>
            <xm:f>Personal!H51&gt;0</xm:f>
          </x14:formula1>
          <xm:sqref>L48</xm:sqref>
        </x14:dataValidation>
        <x14:dataValidation type="custom" operator="greaterThan" allowBlank="1" showInputMessage="1" showErrorMessage="1" errorTitle="Achtung:" error="Ausgaben können nur für Jahre eingegeben werden, in denen ein Klimaschutzmanager eingestellt ist. " promptTitle="Hinweis:" prompt="Bitte tragen Sie selbstständig die Verteilung der Ausgaben über den Projektzeitraum ein." xr:uid="{00000000-0002-0000-0E00-000009000000}">
          <x14:formula1>
            <xm:f>Personal!H51&gt;0</xm:f>
          </x14:formula1>
          <xm:sqref>L49</xm:sqref>
        </x14:dataValidation>
        <x14:dataValidation type="custom" operator="greaterThan" allowBlank="1" showInputMessage="1" showErrorMessage="1" errorTitle="Achtung:" error="Ausgaben können nur für Jahre eingegeben werden, in denen ein Klimaschutzmanager eingestellt ist. " promptTitle="Hinweis:" prompt="Bitte tragen Sie selbstständig die Verteilung der Ausgaben über den Projektzeitraum ein." xr:uid="{00000000-0002-0000-0E00-00000A000000}">
          <x14:formula1>
            <xm:f>Personal!H51&gt;0</xm:f>
          </x14:formula1>
          <xm:sqref>L50</xm:sqref>
        </x14:dataValidation>
        <x14:dataValidation type="custom" operator="greaterThan" allowBlank="1" showInputMessage="1" showErrorMessage="1" promptTitle="Hinweis:" prompt="Bitte tragen Sie selbstständig die Verteilung der Ausgaben über den Projektzeitraum ein." xr:uid="{00000000-0002-0000-0E00-00000B000000}">
          <x14:formula1>
            <xm:f>Personal!F51&gt;0</xm:f>
          </x14:formula1>
          <xm:sqref>H48:I48</xm:sqref>
        </x14:dataValidation>
        <x14:dataValidation type="custom" operator="greaterThan" allowBlank="1" showInputMessage="1" showErrorMessage="1" promptTitle="Hinweis:" prompt="Bitte tragen Sie selbstständig die Verteilung der Ausgaben über den Projektzeitraum ein." xr:uid="{00000000-0002-0000-0E00-00000C000000}">
          <x14:formula1>
            <xm:f>Personal!F51&gt;0</xm:f>
          </x14:formula1>
          <xm:sqref>H49:I49</xm:sqref>
        </x14:dataValidation>
        <x14:dataValidation type="custom" operator="greaterThan" allowBlank="1" showInputMessage="1" showErrorMessage="1" promptTitle="Hinweis:" prompt="Bitte tragen Sie selbstständig die Verteilung der Ausgaben über den Projektzeitraum ein." xr:uid="{00000000-0002-0000-0E00-00000D000000}">
          <x14:formula1>
            <xm:f>Personal!F51&gt;0</xm:f>
          </x14:formula1>
          <xm:sqref>H50:I50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5">
    <tabColor rgb="FFFCF2F7"/>
    <pageSetUpPr fitToPage="1"/>
  </sheetPr>
  <dimension ref="B2:R44"/>
  <sheetViews>
    <sheetView showGridLines="0" showRowColHeaders="0" view="pageBreakPreview" zoomScaleNormal="100" zoomScaleSheetLayoutView="100" workbookViewId="0">
      <selection activeCell="C10" sqref="C10:E10"/>
    </sheetView>
  </sheetViews>
  <sheetFormatPr baseColWidth="10" defaultColWidth="11.453125" defaultRowHeight="11.5" x14ac:dyDescent="0.25"/>
  <cols>
    <col min="1" max="2" width="2.26953125" style="1" customWidth="1"/>
    <col min="3" max="3" width="5.7265625" style="1" customWidth="1"/>
    <col min="4" max="4" width="5.1796875" style="1" customWidth="1"/>
    <col min="5" max="5" width="11" style="1" customWidth="1"/>
    <col min="6" max="6" width="13.453125" style="1" customWidth="1"/>
    <col min="7" max="7" width="12.81640625" style="1" customWidth="1"/>
    <col min="8" max="8" width="12" style="1" customWidth="1"/>
    <col min="9" max="9" width="13.1796875" style="1" customWidth="1"/>
    <col min="10" max="10" width="5.54296875" style="1" customWidth="1"/>
    <col min="11" max="11" width="4.7265625" style="1" customWidth="1"/>
    <col min="12" max="12" width="4.26953125" style="1" customWidth="1"/>
    <col min="13" max="13" width="6.54296875" style="1" customWidth="1"/>
    <col min="14" max="14" width="10.81640625" style="1" customWidth="1"/>
    <col min="15" max="15" width="17.7265625" style="1" customWidth="1"/>
    <col min="16" max="16" width="3.26953125" style="1" customWidth="1"/>
    <col min="17" max="17" width="2.1796875" style="1" customWidth="1"/>
    <col min="18" max="18" width="15.81640625" style="1" bestFit="1" customWidth="1"/>
    <col min="19" max="16384" width="11.453125" style="1"/>
  </cols>
  <sheetData>
    <row r="2" spans="2:17" x14ac:dyDescent="0.25">
      <c r="B2" s="86"/>
      <c r="C2" s="86"/>
      <c r="D2" s="86"/>
      <c r="E2" s="86"/>
      <c r="F2" s="86"/>
      <c r="G2" s="86"/>
      <c r="H2" s="86"/>
      <c r="I2" s="86"/>
      <c r="J2" s="86"/>
      <c r="K2" s="86"/>
      <c r="L2" s="86"/>
      <c r="M2" s="86"/>
      <c r="N2" s="86"/>
      <c r="O2" s="86"/>
      <c r="P2" s="86"/>
      <c r="Q2" s="86"/>
    </row>
    <row r="3" spans="2:17" ht="17.25" customHeight="1" x14ac:dyDescent="0.25">
      <c r="B3" s="86"/>
      <c r="C3" s="749" t="s">
        <v>91</v>
      </c>
      <c r="D3" s="749"/>
      <c r="E3" s="749"/>
      <c r="F3" s="749"/>
      <c r="G3" s="749"/>
      <c r="H3" s="108"/>
      <c r="I3" s="108"/>
      <c r="J3" s="86"/>
      <c r="K3" s="87"/>
      <c r="L3" s="88" t="s">
        <v>63</v>
      </c>
      <c r="M3" s="86"/>
      <c r="N3" s="86"/>
      <c r="O3" s="86"/>
      <c r="P3" s="86"/>
      <c r="Q3" s="86"/>
    </row>
    <row r="4" spans="2:17" ht="17.25" customHeight="1" x14ac:dyDescent="0.25">
      <c r="B4" s="86"/>
      <c r="C4" s="749"/>
      <c r="D4" s="749"/>
      <c r="E4" s="749"/>
      <c r="F4" s="749"/>
      <c r="G4" s="749"/>
      <c r="H4" s="108"/>
      <c r="I4" s="108"/>
      <c r="J4" s="86"/>
      <c r="K4" s="166"/>
      <c r="L4" s="89" t="s">
        <v>62</v>
      </c>
      <c r="M4" s="86"/>
      <c r="N4" s="86"/>
      <c r="O4" s="86"/>
      <c r="P4" s="86"/>
      <c r="Q4" s="86"/>
    </row>
    <row r="5" spans="2:17" ht="17.25" customHeight="1" x14ac:dyDescent="0.25">
      <c r="B5" s="86"/>
      <c r="C5" s="86"/>
      <c r="D5" s="86"/>
      <c r="E5" s="86"/>
      <c r="F5" s="86"/>
      <c r="G5" s="86"/>
      <c r="H5" s="86"/>
      <c r="I5" s="86"/>
      <c r="J5" s="86"/>
      <c r="K5" s="90"/>
      <c r="L5" s="89" t="s">
        <v>61</v>
      </c>
      <c r="M5" s="86"/>
      <c r="N5" s="86"/>
      <c r="O5" s="86"/>
      <c r="P5" s="86"/>
      <c r="Q5" s="86"/>
    </row>
    <row r="6" spans="2:17" ht="17.25" customHeight="1" x14ac:dyDescent="0.25">
      <c r="B6" s="86"/>
      <c r="C6" s="129" t="s">
        <v>593</v>
      </c>
      <c r="D6" s="86"/>
      <c r="E6" s="86"/>
      <c r="F6" s="86"/>
      <c r="G6" s="171">
        <f>SUM(F40:I40)</f>
        <v>0</v>
      </c>
      <c r="H6" s="8">
        <f>IF(G6&gt;5000,1,0)</f>
        <v>0</v>
      </c>
      <c r="I6" s="86"/>
      <c r="J6" s="86"/>
      <c r="K6" s="91"/>
      <c r="L6" s="89" t="s">
        <v>48</v>
      </c>
      <c r="M6" s="86"/>
      <c r="N6" s="86"/>
      <c r="O6" s="86"/>
      <c r="P6" s="86"/>
      <c r="Q6" s="86"/>
    </row>
    <row r="7" spans="2:17" ht="17.25" customHeight="1" x14ac:dyDescent="0.25">
      <c r="B7" s="86"/>
      <c r="C7" s="86"/>
      <c r="D7" s="86"/>
      <c r="E7" s="86"/>
      <c r="F7" s="86"/>
      <c r="G7" s="86"/>
      <c r="H7" s="86"/>
      <c r="I7" s="86"/>
      <c r="J7" s="86"/>
      <c r="K7" s="92"/>
      <c r="L7" s="89" t="s">
        <v>49</v>
      </c>
      <c r="M7" s="86"/>
      <c r="N7" s="86"/>
      <c r="O7" s="86"/>
      <c r="P7" s="86"/>
      <c r="Q7" s="86"/>
    </row>
    <row r="8" spans="2:17" ht="15" customHeight="1" thickBot="1" x14ac:dyDescent="0.3">
      <c r="B8" s="86"/>
      <c r="C8" s="132" t="s">
        <v>184</v>
      </c>
      <c r="D8" s="132"/>
      <c r="E8" s="132"/>
      <c r="F8" s="132"/>
      <c r="G8" s="133"/>
      <c r="H8" s="133"/>
      <c r="I8" s="133"/>
      <c r="J8" s="133"/>
      <c r="K8" s="133"/>
      <c r="L8" s="133"/>
      <c r="M8" s="133"/>
      <c r="N8" s="133"/>
      <c r="O8" s="133"/>
      <c r="P8" s="86"/>
      <c r="Q8" s="86"/>
    </row>
    <row r="9" spans="2:17" s="14" customFormat="1" ht="48" customHeight="1" x14ac:dyDescent="0.35">
      <c r="B9" s="134"/>
      <c r="C9" s="917" t="s">
        <v>14</v>
      </c>
      <c r="D9" s="790"/>
      <c r="E9" s="913"/>
      <c r="F9" s="310" t="s">
        <v>213</v>
      </c>
      <c r="G9" s="310" t="s">
        <v>29</v>
      </c>
      <c r="H9" s="309" t="s">
        <v>254</v>
      </c>
      <c r="I9" s="309" t="s">
        <v>291</v>
      </c>
      <c r="J9" s="789" t="s">
        <v>292</v>
      </c>
      <c r="K9" s="790"/>
      <c r="L9" s="913"/>
      <c r="M9" s="789" t="s">
        <v>293</v>
      </c>
      <c r="N9" s="913"/>
      <c r="O9" s="104" t="s">
        <v>92</v>
      </c>
      <c r="P9" s="135"/>
      <c r="Q9" s="135"/>
    </row>
    <row r="10" spans="2:17" ht="27" customHeight="1" x14ac:dyDescent="0.25">
      <c r="B10" s="93"/>
      <c r="C10" s="910" t="s">
        <v>68</v>
      </c>
      <c r="D10" s="911"/>
      <c r="E10" s="912"/>
      <c r="F10" s="54" t="s">
        <v>68</v>
      </c>
      <c r="G10" s="54" t="s">
        <v>68</v>
      </c>
      <c r="H10" s="226"/>
      <c r="I10" s="204"/>
      <c r="J10" s="914"/>
      <c r="K10" s="916"/>
      <c r="L10" s="915"/>
      <c r="M10" s="914"/>
      <c r="N10" s="915"/>
      <c r="O10" s="136">
        <f>(J10+M10+IF(F10&lt;&gt;menu!D12,I10,0))*H10</f>
        <v>0</v>
      </c>
      <c r="P10" s="160">
        <f>IF(OR(AND(O10&gt;0,OR(F10="bitte auswählen",C10="bitte auswählen",G10="bitte auswählen"))),1,IF(AND(C10="Netzwerktreffen",M10&gt;0),0.01,IF(AND(C10="Weiterqualifizierung",M10&gt;1000),0.01,0)))</f>
        <v>0</v>
      </c>
      <c r="Q10" s="86"/>
    </row>
    <row r="11" spans="2:17" ht="27" customHeight="1" x14ac:dyDescent="0.25">
      <c r="B11" s="93"/>
      <c r="C11" s="910" t="s">
        <v>68</v>
      </c>
      <c r="D11" s="911"/>
      <c r="E11" s="912"/>
      <c r="F11" s="54" t="s">
        <v>68</v>
      </c>
      <c r="G11" s="54" t="s">
        <v>68</v>
      </c>
      <c r="H11" s="226"/>
      <c r="I11" s="204"/>
      <c r="J11" s="914"/>
      <c r="K11" s="916"/>
      <c r="L11" s="915"/>
      <c r="M11" s="914"/>
      <c r="N11" s="915"/>
      <c r="O11" s="136">
        <f>(J11+M11+IF(F11&lt;&gt;menu!D13,I11,0))*H11</f>
        <v>0</v>
      </c>
      <c r="P11" s="160">
        <f t="shared" ref="P11:P25" si="0">IF(OR(AND(O11&gt;0,OR(F11="bitte auswählen",C11="bitte auswählen",G11="bitte auswählen"))),1,IF(AND(C11="Netzwerktreffen",M11&gt;0),0.01,IF(AND(C11="Weiterqualifizierung",M11&gt;1000),0.01,0)))</f>
        <v>0</v>
      </c>
      <c r="Q11" s="86"/>
    </row>
    <row r="12" spans="2:17" ht="27" customHeight="1" x14ac:dyDescent="0.25">
      <c r="B12" s="93"/>
      <c r="C12" s="910" t="s">
        <v>68</v>
      </c>
      <c r="D12" s="911"/>
      <c r="E12" s="912"/>
      <c r="F12" s="54" t="s">
        <v>68</v>
      </c>
      <c r="G12" s="54" t="s">
        <v>68</v>
      </c>
      <c r="H12" s="226"/>
      <c r="I12" s="204"/>
      <c r="J12" s="914"/>
      <c r="K12" s="916"/>
      <c r="L12" s="915"/>
      <c r="M12" s="914"/>
      <c r="N12" s="915"/>
      <c r="O12" s="136">
        <f>(J12+M12+IF(F12&lt;&gt;menu!D14,I12,0))*H12</f>
        <v>0</v>
      </c>
      <c r="P12" s="160">
        <f t="shared" si="0"/>
        <v>0</v>
      </c>
      <c r="Q12" s="86"/>
    </row>
    <row r="13" spans="2:17" ht="27" customHeight="1" x14ac:dyDescent="0.25">
      <c r="B13" s="93"/>
      <c r="C13" s="910" t="s">
        <v>68</v>
      </c>
      <c r="D13" s="911"/>
      <c r="E13" s="912"/>
      <c r="F13" s="54" t="s">
        <v>68</v>
      </c>
      <c r="G13" s="54" t="s">
        <v>68</v>
      </c>
      <c r="H13" s="226"/>
      <c r="I13" s="204"/>
      <c r="J13" s="914"/>
      <c r="K13" s="916"/>
      <c r="L13" s="915"/>
      <c r="M13" s="914"/>
      <c r="N13" s="915"/>
      <c r="O13" s="136">
        <f>(J13+M13+IF(F13&lt;&gt;menu!D15,I13,0))*H13</f>
        <v>0</v>
      </c>
      <c r="P13" s="160">
        <f t="shared" si="0"/>
        <v>0</v>
      </c>
      <c r="Q13" s="86"/>
    </row>
    <row r="14" spans="2:17" ht="27" customHeight="1" x14ac:dyDescent="0.25">
      <c r="B14" s="93"/>
      <c r="C14" s="910" t="s">
        <v>68</v>
      </c>
      <c r="D14" s="911"/>
      <c r="E14" s="912"/>
      <c r="F14" s="54" t="s">
        <v>68</v>
      </c>
      <c r="G14" s="54" t="s">
        <v>68</v>
      </c>
      <c r="H14" s="226"/>
      <c r="I14" s="204"/>
      <c r="J14" s="914"/>
      <c r="K14" s="916"/>
      <c r="L14" s="915"/>
      <c r="M14" s="914"/>
      <c r="N14" s="915"/>
      <c r="O14" s="136">
        <f>(J14+M14+IF(F14&lt;&gt;menu!D16,I14,0))*H14</f>
        <v>0</v>
      </c>
      <c r="P14" s="160">
        <f t="shared" si="0"/>
        <v>0</v>
      </c>
      <c r="Q14" s="86"/>
    </row>
    <row r="15" spans="2:17" ht="27" customHeight="1" x14ac:dyDescent="0.25">
      <c r="B15" s="93"/>
      <c r="C15" s="910" t="s">
        <v>68</v>
      </c>
      <c r="D15" s="911"/>
      <c r="E15" s="912"/>
      <c r="F15" s="54" t="s">
        <v>68</v>
      </c>
      <c r="G15" s="54" t="s">
        <v>68</v>
      </c>
      <c r="H15" s="226"/>
      <c r="I15" s="204"/>
      <c r="J15" s="914"/>
      <c r="K15" s="916"/>
      <c r="L15" s="915"/>
      <c r="M15" s="914"/>
      <c r="N15" s="915"/>
      <c r="O15" s="136">
        <f>(J15+M15+IF(F15&lt;&gt;menu!D17,I15,0))*H15</f>
        <v>0</v>
      </c>
      <c r="P15" s="160">
        <f t="shared" si="0"/>
        <v>0</v>
      </c>
      <c r="Q15" s="86"/>
    </row>
    <row r="16" spans="2:17" ht="27" customHeight="1" x14ac:dyDescent="0.25">
      <c r="B16" s="93"/>
      <c r="C16" s="910" t="s">
        <v>68</v>
      </c>
      <c r="D16" s="911"/>
      <c r="E16" s="912"/>
      <c r="F16" s="54" t="s">
        <v>68</v>
      </c>
      <c r="G16" s="54" t="s">
        <v>68</v>
      </c>
      <c r="H16" s="226"/>
      <c r="I16" s="204"/>
      <c r="J16" s="914"/>
      <c r="K16" s="916"/>
      <c r="L16" s="915"/>
      <c r="M16" s="914"/>
      <c r="N16" s="915"/>
      <c r="O16" s="136">
        <f>(J16+M16+IF(F16&lt;&gt;menu!D18,I16,0))*H16</f>
        <v>0</v>
      </c>
      <c r="P16" s="160">
        <f t="shared" si="0"/>
        <v>0</v>
      </c>
      <c r="Q16" s="86"/>
    </row>
    <row r="17" spans="2:17" ht="27" customHeight="1" x14ac:dyDescent="0.25">
      <c r="B17" s="93"/>
      <c r="C17" s="910" t="s">
        <v>68</v>
      </c>
      <c r="D17" s="911"/>
      <c r="E17" s="912"/>
      <c r="F17" s="54" t="s">
        <v>68</v>
      </c>
      <c r="G17" s="54" t="s">
        <v>68</v>
      </c>
      <c r="H17" s="226"/>
      <c r="I17" s="204"/>
      <c r="J17" s="914"/>
      <c r="K17" s="916"/>
      <c r="L17" s="915"/>
      <c r="M17" s="914"/>
      <c r="N17" s="915"/>
      <c r="O17" s="136">
        <f>(J17+M17+IF(F17&lt;&gt;menu!D19,I17,0))*H17</f>
        <v>0</v>
      </c>
      <c r="P17" s="160">
        <f t="shared" si="0"/>
        <v>0</v>
      </c>
      <c r="Q17" s="86"/>
    </row>
    <row r="18" spans="2:17" ht="27" customHeight="1" x14ac:dyDescent="0.25">
      <c r="B18" s="93"/>
      <c r="C18" s="910" t="s">
        <v>68</v>
      </c>
      <c r="D18" s="911"/>
      <c r="E18" s="912"/>
      <c r="F18" s="54" t="s">
        <v>68</v>
      </c>
      <c r="G18" s="54" t="s">
        <v>68</v>
      </c>
      <c r="H18" s="226"/>
      <c r="I18" s="204"/>
      <c r="J18" s="914"/>
      <c r="K18" s="916"/>
      <c r="L18" s="915"/>
      <c r="M18" s="914"/>
      <c r="N18" s="915"/>
      <c r="O18" s="136">
        <f>(J18+M18+IF(F18&lt;&gt;menu!D20,I18,0))*H18</f>
        <v>0</v>
      </c>
      <c r="P18" s="160">
        <f t="shared" si="0"/>
        <v>0</v>
      </c>
      <c r="Q18" s="86"/>
    </row>
    <row r="19" spans="2:17" ht="27" customHeight="1" x14ac:dyDescent="0.25">
      <c r="B19" s="93"/>
      <c r="C19" s="910" t="s">
        <v>68</v>
      </c>
      <c r="D19" s="911"/>
      <c r="E19" s="912"/>
      <c r="F19" s="54" t="s">
        <v>68</v>
      </c>
      <c r="G19" s="54" t="s">
        <v>68</v>
      </c>
      <c r="H19" s="226"/>
      <c r="I19" s="204"/>
      <c r="J19" s="914"/>
      <c r="K19" s="916"/>
      <c r="L19" s="915"/>
      <c r="M19" s="914"/>
      <c r="N19" s="915"/>
      <c r="O19" s="136">
        <f>(J19+M19+IF(F19&lt;&gt;menu!D21,I19,0))*H19</f>
        <v>0</v>
      </c>
      <c r="P19" s="160">
        <f t="shared" si="0"/>
        <v>0</v>
      </c>
      <c r="Q19" s="86"/>
    </row>
    <row r="20" spans="2:17" ht="27" customHeight="1" x14ac:dyDescent="0.25">
      <c r="B20" s="93"/>
      <c r="C20" s="910" t="s">
        <v>68</v>
      </c>
      <c r="D20" s="911"/>
      <c r="E20" s="912"/>
      <c r="F20" s="54" t="s">
        <v>68</v>
      </c>
      <c r="G20" s="54" t="s">
        <v>68</v>
      </c>
      <c r="H20" s="226"/>
      <c r="I20" s="204"/>
      <c r="J20" s="914"/>
      <c r="K20" s="916"/>
      <c r="L20" s="915"/>
      <c r="M20" s="914"/>
      <c r="N20" s="915"/>
      <c r="O20" s="136">
        <f>(J20+M20+IF(F20&lt;&gt;menu!D22,I20,0))*H20</f>
        <v>0</v>
      </c>
      <c r="P20" s="160">
        <f t="shared" si="0"/>
        <v>0</v>
      </c>
      <c r="Q20" s="86"/>
    </row>
    <row r="21" spans="2:17" ht="27" customHeight="1" x14ac:dyDescent="0.25">
      <c r="B21" s="93"/>
      <c r="C21" s="910" t="s">
        <v>68</v>
      </c>
      <c r="D21" s="911"/>
      <c r="E21" s="912"/>
      <c r="F21" s="54" t="s">
        <v>68</v>
      </c>
      <c r="G21" s="54" t="s">
        <v>68</v>
      </c>
      <c r="H21" s="226"/>
      <c r="I21" s="204"/>
      <c r="J21" s="914"/>
      <c r="K21" s="916"/>
      <c r="L21" s="915"/>
      <c r="M21" s="914"/>
      <c r="N21" s="915"/>
      <c r="O21" s="136">
        <f>(J21+M21+IF(F21&lt;&gt;menu!D23,I21,0))*H21</f>
        <v>0</v>
      </c>
      <c r="P21" s="160">
        <f t="shared" si="0"/>
        <v>0</v>
      </c>
      <c r="Q21" s="86"/>
    </row>
    <row r="22" spans="2:17" ht="27" customHeight="1" x14ac:dyDescent="0.25">
      <c r="B22" s="93"/>
      <c r="C22" s="910" t="s">
        <v>68</v>
      </c>
      <c r="D22" s="911"/>
      <c r="E22" s="912"/>
      <c r="F22" s="54" t="s">
        <v>68</v>
      </c>
      <c r="G22" s="54" t="s">
        <v>68</v>
      </c>
      <c r="H22" s="226"/>
      <c r="I22" s="204"/>
      <c r="J22" s="914"/>
      <c r="K22" s="916"/>
      <c r="L22" s="915"/>
      <c r="M22" s="914"/>
      <c r="N22" s="915"/>
      <c r="O22" s="136">
        <f>(J22+M22+IF(F22&lt;&gt;menu!D24,I22,0))*H22</f>
        <v>0</v>
      </c>
      <c r="P22" s="160">
        <f t="shared" si="0"/>
        <v>0</v>
      </c>
      <c r="Q22" s="86"/>
    </row>
    <row r="23" spans="2:17" ht="27" customHeight="1" x14ac:dyDescent="0.25">
      <c r="B23" s="93"/>
      <c r="C23" s="910" t="s">
        <v>68</v>
      </c>
      <c r="D23" s="911"/>
      <c r="E23" s="912"/>
      <c r="F23" s="54" t="s">
        <v>68</v>
      </c>
      <c r="G23" s="54" t="s">
        <v>68</v>
      </c>
      <c r="H23" s="226"/>
      <c r="I23" s="204"/>
      <c r="J23" s="914"/>
      <c r="K23" s="916"/>
      <c r="L23" s="915"/>
      <c r="M23" s="914"/>
      <c r="N23" s="915"/>
      <c r="O23" s="136">
        <f>(J23+M23+IF(F23&lt;&gt;menu!D25,I23,0))*H23</f>
        <v>0</v>
      </c>
      <c r="P23" s="160">
        <f t="shared" si="0"/>
        <v>0</v>
      </c>
      <c r="Q23" s="86"/>
    </row>
    <row r="24" spans="2:17" ht="27" customHeight="1" x14ac:dyDescent="0.25">
      <c r="B24" s="93"/>
      <c r="C24" s="910" t="s">
        <v>68</v>
      </c>
      <c r="D24" s="911"/>
      <c r="E24" s="912"/>
      <c r="F24" s="54" t="s">
        <v>68</v>
      </c>
      <c r="G24" s="54" t="s">
        <v>68</v>
      </c>
      <c r="H24" s="226"/>
      <c r="I24" s="204"/>
      <c r="J24" s="914"/>
      <c r="K24" s="916"/>
      <c r="L24" s="915"/>
      <c r="M24" s="914"/>
      <c r="N24" s="915"/>
      <c r="O24" s="136">
        <f>(J24+M24+IF(F24&lt;&gt;menu!D26,I24,0))*H24</f>
        <v>0</v>
      </c>
      <c r="P24" s="160">
        <f t="shared" si="0"/>
        <v>0</v>
      </c>
      <c r="Q24" s="86"/>
    </row>
    <row r="25" spans="2:17" ht="27" customHeight="1" thickBot="1" x14ac:dyDescent="0.3">
      <c r="B25" s="93"/>
      <c r="C25" s="926" t="s">
        <v>68</v>
      </c>
      <c r="D25" s="927"/>
      <c r="E25" s="928"/>
      <c r="F25" s="54" t="s">
        <v>68</v>
      </c>
      <c r="G25" s="54" t="s">
        <v>68</v>
      </c>
      <c r="H25" s="226"/>
      <c r="I25" s="204"/>
      <c r="J25" s="914"/>
      <c r="K25" s="916"/>
      <c r="L25" s="915"/>
      <c r="M25" s="914"/>
      <c r="N25" s="915"/>
      <c r="O25" s="136">
        <f>(J25+M25+IF(F25&lt;&gt;menu!D27,I25,0))*H25</f>
        <v>0</v>
      </c>
      <c r="P25" s="160">
        <f t="shared" si="0"/>
        <v>0</v>
      </c>
      <c r="Q25" s="86"/>
    </row>
    <row r="26" spans="2:17" ht="15.75" customHeight="1" thickBot="1" x14ac:dyDescent="0.3">
      <c r="B26" s="86"/>
      <c r="C26" s="137"/>
      <c r="D26" s="137"/>
      <c r="E26" s="137"/>
      <c r="F26" s="294"/>
      <c r="G26" s="925"/>
      <c r="H26" s="925"/>
      <c r="I26" s="295"/>
      <c r="J26" s="918"/>
      <c r="K26" s="918"/>
      <c r="L26" s="918"/>
      <c r="M26" s="923" t="s">
        <v>6</v>
      </c>
      <c r="N26" s="924"/>
      <c r="O26" s="307">
        <f>SUM(O10:O25)</f>
        <v>0</v>
      </c>
      <c r="P26" s="86"/>
      <c r="Q26" s="86"/>
    </row>
    <row r="27" spans="2:17" ht="5.25" customHeight="1" x14ac:dyDescent="0.25">
      <c r="B27" s="86"/>
      <c r="C27" s="86"/>
      <c r="D27" s="86"/>
      <c r="E27" s="86"/>
      <c r="F27" s="86"/>
      <c r="G27" s="86"/>
      <c r="H27" s="86"/>
      <c r="I27" s="86"/>
      <c r="J27" s="86"/>
      <c r="K27" s="86"/>
      <c r="L27" s="86"/>
      <c r="M27" s="86"/>
      <c r="N27" s="86"/>
      <c r="O27" s="86"/>
      <c r="P27" s="86"/>
      <c r="Q27" s="86"/>
    </row>
    <row r="28" spans="2:17" ht="40.5" customHeight="1" thickBot="1" x14ac:dyDescent="0.3">
      <c r="B28" s="86"/>
      <c r="C28" s="814" t="s">
        <v>288</v>
      </c>
      <c r="D28" s="815"/>
      <c r="E28" s="815"/>
      <c r="F28" s="815"/>
      <c r="G28" s="815"/>
      <c r="H28" s="815"/>
      <c r="I28" s="815"/>
      <c r="J28" s="815"/>
      <c r="K28" s="815"/>
      <c r="L28" s="815"/>
      <c r="M28" s="815"/>
      <c r="N28" s="815"/>
      <c r="O28" s="816"/>
      <c r="P28" s="86"/>
      <c r="Q28" s="86"/>
    </row>
    <row r="29" spans="2:17" ht="21" customHeight="1" thickBot="1" x14ac:dyDescent="0.3">
      <c r="B29" s="86"/>
      <c r="C29" s="251"/>
      <c r="D29" s="919" t="s">
        <v>289</v>
      </c>
      <c r="E29" s="919"/>
      <c r="F29" s="919"/>
      <c r="G29" s="919"/>
      <c r="H29" s="920" t="s">
        <v>68</v>
      </c>
      <c r="I29" s="920"/>
      <c r="J29" s="921" t="s">
        <v>290</v>
      </c>
      <c r="K29" s="921"/>
      <c r="L29" s="921"/>
      <c r="M29" s="921"/>
      <c r="N29" s="922"/>
      <c r="O29" s="308"/>
      <c r="P29" s="160">
        <f>IF(menu!$U$6=TRUE,IF(AND(O29="",menu!A6=TRUE),1,0),0)</f>
        <v>0</v>
      </c>
      <c r="Q29" s="86"/>
    </row>
    <row r="30" spans="2:17" ht="6" customHeight="1" thickBot="1" x14ac:dyDescent="0.3">
      <c r="B30" s="86"/>
      <c r="C30" s="86"/>
      <c r="D30" s="86"/>
      <c r="E30" s="86"/>
      <c r="F30" s="86"/>
      <c r="G30" s="86"/>
      <c r="H30" s="86"/>
      <c r="I30" s="86"/>
      <c r="J30" s="86"/>
      <c r="K30" s="86"/>
      <c r="L30" s="86"/>
      <c r="M30" s="86"/>
      <c r="N30" s="86"/>
      <c r="O30" s="86"/>
      <c r="P30" s="13"/>
      <c r="Q30" s="86"/>
    </row>
    <row r="31" spans="2:17" ht="12" customHeight="1" x14ac:dyDescent="0.25">
      <c r="B31" s="86"/>
      <c r="C31" s="887" t="s">
        <v>257</v>
      </c>
      <c r="D31" s="888"/>
      <c r="E31" s="888"/>
      <c r="F31" s="888"/>
      <c r="G31" s="888"/>
      <c r="H31" s="888"/>
      <c r="I31" s="888"/>
      <c r="J31" s="888"/>
      <c r="K31" s="888"/>
      <c r="L31" s="888"/>
      <c r="M31" s="888"/>
      <c r="N31" s="888"/>
      <c r="O31" s="889"/>
      <c r="P31" s="86"/>
      <c r="Q31" s="86"/>
    </row>
    <row r="32" spans="2:17" ht="9" customHeight="1" x14ac:dyDescent="0.25">
      <c r="B32" s="86"/>
      <c r="C32" s="890"/>
      <c r="D32" s="891"/>
      <c r="E32" s="891"/>
      <c r="F32" s="891"/>
      <c r="G32" s="891"/>
      <c r="H32" s="891"/>
      <c r="I32" s="891"/>
      <c r="J32" s="891"/>
      <c r="K32" s="891"/>
      <c r="L32" s="891"/>
      <c r="M32" s="891"/>
      <c r="N32" s="891"/>
      <c r="O32" s="892"/>
      <c r="P32" s="139"/>
      <c r="Q32" s="139"/>
    </row>
    <row r="33" spans="2:18" ht="7.5" customHeight="1" x14ac:dyDescent="0.25">
      <c r="B33" s="86"/>
      <c r="C33" s="893"/>
      <c r="D33" s="894"/>
      <c r="E33" s="894"/>
      <c r="F33" s="894"/>
      <c r="G33" s="891"/>
      <c r="H33" s="891"/>
      <c r="I33" s="891"/>
      <c r="J33" s="891"/>
      <c r="K33" s="891"/>
      <c r="L33" s="891"/>
      <c r="M33" s="894"/>
      <c r="N33" s="894"/>
      <c r="O33" s="895"/>
      <c r="P33" s="139"/>
      <c r="Q33" s="139"/>
    </row>
    <row r="34" spans="2:18" ht="15" customHeight="1" x14ac:dyDescent="0.25">
      <c r="B34" s="86"/>
      <c r="C34" s="885"/>
      <c r="D34" s="896" t="s">
        <v>15</v>
      </c>
      <c r="E34" s="896"/>
      <c r="F34" s="896"/>
      <c r="G34" s="898" t="s">
        <v>16</v>
      </c>
      <c r="H34" s="898"/>
      <c r="I34" s="898"/>
      <c r="J34" s="898"/>
      <c r="K34" s="898"/>
      <c r="L34" s="898"/>
      <c r="M34" s="898"/>
      <c r="N34" s="900" t="s">
        <v>155</v>
      </c>
      <c r="O34" s="901"/>
      <c r="P34" s="671">
        <f>IF(menu!$U$6=TRUE,IF(OR(AND(O26&gt;0,menu!H4=0),AND(O26&gt;0,menu!H4=3,F37="")),1,0),0)</f>
        <v>0</v>
      </c>
      <c r="Q34" s="86"/>
    </row>
    <row r="35" spans="2:18" ht="15.75" customHeight="1" thickBot="1" x14ac:dyDescent="0.3">
      <c r="B35" s="86"/>
      <c r="C35" s="886"/>
      <c r="D35" s="897"/>
      <c r="E35" s="897"/>
      <c r="F35" s="897"/>
      <c r="G35" s="899"/>
      <c r="H35" s="899"/>
      <c r="I35" s="899"/>
      <c r="J35" s="899"/>
      <c r="K35" s="899"/>
      <c r="L35" s="899"/>
      <c r="M35" s="899"/>
      <c r="N35" s="902"/>
      <c r="O35" s="903"/>
      <c r="P35" s="671"/>
      <c r="Q35" s="86"/>
    </row>
    <row r="36" spans="2:18" ht="6" customHeight="1" thickBot="1" x14ac:dyDescent="0.3">
      <c r="B36" s="86"/>
      <c r="J36" s="86"/>
      <c r="K36" s="86"/>
      <c r="L36" s="86"/>
      <c r="M36" s="86"/>
      <c r="N36" s="86"/>
      <c r="O36" s="86"/>
      <c r="P36" s="86"/>
      <c r="Q36" s="86"/>
    </row>
    <row r="37" spans="2:18" ht="26.25" customHeight="1" thickBot="1" x14ac:dyDescent="0.3">
      <c r="B37" s="86"/>
      <c r="C37" s="878" t="s">
        <v>78</v>
      </c>
      <c r="D37" s="879"/>
      <c r="E37" s="880"/>
      <c r="F37" s="881"/>
      <c r="G37" s="882"/>
      <c r="H37" s="882"/>
      <c r="I37" s="882"/>
      <c r="J37" s="882"/>
      <c r="K37" s="882"/>
      <c r="L37" s="882"/>
      <c r="M37" s="882"/>
      <c r="N37" s="882"/>
      <c r="O37" s="883"/>
      <c r="P37" s="671"/>
      <c r="Q37" s="86"/>
    </row>
    <row r="38" spans="2:18" ht="18.75" customHeight="1" thickBot="1" x14ac:dyDescent="0.3">
      <c r="B38" s="86"/>
      <c r="C38" s="255" t="s">
        <v>301</v>
      </c>
      <c r="D38" s="140"/>
      <c r="E38" s="140"/>
      <c r="F38" s="140"/>
      <c r="G38" s="140"/>
      <c r="H38" s="140"/>
      <c r="I38" s="140"/>
      <c r="J38" s="133"/>
      <c r="K38" s="133"/>
      <c r="L38" s="133"/>
      <c r="M38" s="86"/>
      <c r="N38" s="86"/>
      <c r="O38" s="111"/>
      <c r="P38" s="884"/>
      <c r="Q38" s="86"/>
    </row>
    <row r="39" spans="2:18" ht="15" customHeight="1" x14ac:dyDescent="0.25">
      <c r="B39" s="86"/>
      <c r="C39" s="793" t="s">
        <v>18</v>
      </c>
      <c r="D39" s="795"/>
      <c r="E39" s="101" t="s">
        <v>32</v>
      </c>
      <c r="F39" s="102" t="str">
        <f>Personal!E50</f>
        <v>Projektjahr 1</v>
      </c>
      <c r="G39" s="102" t="str">
        <f>Personal!F50</f>
        <v>Projektjahr 2</v>
      </c>
      <c r="H39" s="102" t="str">
        <f>Personal!G50</f>
        <v>Projektjahr 3</v>
      </c>
      <c r="I39" s="103" t="str">
        <f>Personal!H50</f>
        <v>Projektjahr 4</v>
      </c>
      <c r="J39" s="789" t="s">
        <v>6</v>
      </c>
      <c r="K39" s="790"/>
      <c r="L39" s="909"/>
      <c r="O39" s="141" t="s">
        <v>90</v>
      </c>
      <c r="P39" s="86"/>
      <c r="Q39" s="86"/>
    </row>
    <row r="40" spans="2:18" ht="30.75" customHeight="1" thickBot="1" x14ac:dyDescent="0.3">
      <c r="B40" s="86"/>
      <c r="C40" s="904" t="s">
        <v>99</v>
      </c>
      <c r="D40" s="905"/>
      <c r="E40" s="191" t="str">
        <f>LEFT(C8,20)</f>
        <v xml:space="preserve">Dienstreisen Inland </v>
      </c>
      <c r="F40" s="405"/>
      <c r="G40" s="405"/>
      <c r="H40" s="405"/>
      <c r="I40" s="82"/>
      <c r="J40" s="906">
        <f>O26+O29</f>
        <v>0</v>
      </c>
      <c r="K40" s="907"/>
      <c r="L40" s="908"/>
      <c r="O40" s="142">
        <f>J40-SUM(F40:I40)</f>
        <v>0</v>
      </c>
      <c r="P40" s="9">
        <f>IF(AND(menu!$U$6=TRUE,O40&lt;&gt;0),1,0)</f>
        <v>0</v>
      </c>
      <c r="Q40" s="60"/>
    </row>
    <row r="41" spans="2:18" ht="6" customHeight="1" x14ac:dyDescent="0.25">
      <c r="B41" s="86"/>
      <c r="C41" s="138"/>
      <c r="D41" s="138"/>
      <c r="E41" s="107"/>
      <c r="F41" s="76"/>
      <c r="G41" s="76"/>
      <c r="H41" s="76"/>
      <c r="I41" s="76"/>
      <c r="J41" s="189"/>
      <c r="K41" s="189"/>
      <c r="L41" s="189"/>
      <c r="M41" s="189"/>
      <c r="N41" s="189"/>
      <c r="O41" s="142"/>
      <c r="P41" s="9"/>
      <c r="Q41" s="60"/>
    </row>
    <row r="42" spans="2:18" ht="12.75" customHeight="1" x14ac:dyDescent="0.25">
      <c r="B42" s="86"/>
      <c r="C42" s="722" t="s">
        <v>183</v>
      </c>
      <c r="D42" s="722"/>
      <c r="E42" s="722"/>
      <c r="F42" s="722"/>
      <c r="G42" s="722"/>
      <c r="H42" s="722"/>
      <c r="I42" s="722"/>
      <c r="J42" s="722"/>
      <c r="K42" s="722"/>
      <c r="L42" s="722"/>
      <c r="M42" s="722"/>
      <c r="N42" s="722"/>
      <c r="O42" s="722"/>
      <c r="P42" s="722"/>
      <c r="Q42" s="190"/>
      <c r="R42" s="190"/>
    </row>
    <row r="43" spans="2:18" ht="17.25" customHeight="1" x14ac:dyDescent="0.25">
      <c r="B43" s="86"/>
      <c r="C43" s="718" t="str">
        <f>Basisdaten!C46</f>
        <v>Vorhabenbeschreibung 
4.1.10 a): Erstellung eines 
Fokuskonzeptes 2509_V3</v>
      </c>
      <c r="D43" s="719"/>
      <c r="E43" s="719"/>
      <c r="F43" s="719"/>
      <c r="G43" s="719"/>
      <c r="H43" s="719"/>
      <c r="I43" s="719"/>
      <c r="J43" s="719"/>
      <c r="K43" s="719"/>
      <c r="L43" s="719"/>
      <c r="M43" s="719"/>
      <c r="N43" s="719"/>
      <c r="O43" s="719"/>
      <c r="P43" s="13"/>
      <c r="Q43" s="86"/>
    </row>
    <row r="44" spans="2:18" x14ac:dyDescent="0.25">
      <c r="B44" s="86"/>
      <c r="C44" s="86"/>
      <c r="D44" s="86"/>
      <c r="E44" s="86"/>
      <c r="F44" s="86"/>
      <c r="G44" s="86"/>
      <c r="H44" s="86"/>
      <c r="I44" s="86"/>
      <c r="J44" s="86"/>
      <c r="K44" s="86"/>
      <c r="L44" s="86"/>
      <c r="M44" s="86"/>
      <c r="N44" s="86"/>
      <c r="O44" s="86"/>
      <c r="P44" s="86"/>
      <c r="Q44" s="86"/>
    </row>
  </sheetData>
  <sheetProtection selectLockedCells="1"/>
  <customSheetViews>
    <customSheetView guid="{68ABA936-E0C3-4F62-AA1D-4FD1F5462098}" showPageBreaks="1" showGridLines="0" showRowCol="0" fitToPage="1" printArea="1" view="pageBreakPreview" topLeftCell="A20">
      <selection activeCell="H11" sqref="H11"/>
      <pageMargins left="0.39370078740157483" right="0.39370078740157483" top="0.39370078740157483" bottom="0.39370078740157483" header="0" footer="0"/>
      <printOptions horizontalCentered="1"/>
      <pageSetup paperSize="9" scale="72" orientation="portrait" r:id="rId1"/>
    </customSheetView>
  </customSheetViews>
  <mergeCells count="75">
    <mergeCell ref="D29:G29"/>
    <mergeCell ref="H29:I29"/>
    <mergeCell ref="J29:N29"/>
    <mergeCell ref="M24:N24"/>
    <mergeCell ref="M25:N25"/>
    <mergeCell ref="M26:N26"/>
    <mergeCell ref="G26:H26"/>
    <mergeCell ref="C24:E24"/>
    <mergeCell ref="C25:E25"/>
    <mergeCell ref="J20:L20"/>
    <mergeCell ref="C28:O28"/>
    <mergeCell ref="J24:L24"/>
    <mergeCell ref="J25:L25"/>
    <mergeCell ref="J26:L26"/>
    <mergeCell ref="M22:N22"/>
    <mergeCell ref="M23:N23"/>
    <mergeCell ref="C21:E21"/>
    <mergeCell ref="C22:E22"/>
    <mergeCell ref="C23:E23"/>
    <mergeCell ref="J22:L22"/>
    <mergeCell ref="J23:L23"/>
    <mergeCell ref="J21:L21"/>
    <mergeCell ref="J13:L13"/>
    <mergeCell ref="M20:N20"/>
    <mergeCell ref="M21:N21"/>
    <mergeCell ref="C20:E20"/>
    <mergeCell ref="J14:L14"/>
    <mergeCell ref="J15:L15"/>
    <mergeCell ref="J16:L16"/>
    <mergeCell ref="J17:L17"/>
    <mergeCell ref="J18:L18"/>
    <mergeCell ref="M14:N14"/>
    <mergeCell ref="M15:N15"/>
    <mergeCell ref="M16:N16"/>
    <mergeCell ref="M17:N17"/>
    <mergeCell ref="M18:N18"/>
    <mergeCell ref="J19:L19"/>
    <mergeCell ref="M19:N19"/>
    <mergeCell ref="C3:G4"/>
    <mergeCell ref="C9:E9"/>
    <mergeCell ref="C10:E10"/>
    <mergeCell ref="C11:E11"/>
    <mergeCell ref="C12:E12"/>
    <mergeCell ref="C18:E18"/>
    <mergeCell ref="C19:E19"/>
    <mergeCell ref="M9:N9"/>
    <mergeCell ref="M10:N10"/>
    <mergeCell ref="M11:N11"/>
    <mergeCell ref="M12:N12"/>
    <mergeCell ref="M13:N13"/>
    <mergeCell ref="C13:E13"/>
    <mergeCell ref="C14:E14"/>
    <mergeCell ref="C15:E15"/>
    <mergeCell ref="C16:E16"/>
    <mergeCell ref="C17:E17"/>
    <mergeCell ref="J9:L9"/>
    <mergeCell ref="J10:L10"/>
    <mergeCell ref="J11:L11"/>
    <mergeCell ref="J12:L12"/>
    <mergeCell ref="C43:O43"/>
    <mergeCell ref="C40:D40"/>
    <mergeCell ref="J40:L40"/>
    <mergeCell ref="J39:L39"/>
    <mergeCell ref="C39:D39"/>
    <mergeCell ref="C31:O33"/>
    <mergeCell ref="D34:F35"/>
    <mergeCell ref="G34:L35"/>
    <mergeCell ref="M34:M35"/>
    <mergeCell ref="N34:O35"/>
    <mergeCell ref="C37:E37"/>
    <mergeCell ref="F37:O37"/>
    <mergeCell ref="P37:P38"/>
    <mergeCell ref="C42:P42"/>
    <mergeCell ref="C34:C35"/>
    <mergeCell ref="P34:P35"/>
  </mergeCells>
  <conditionalFormatting sqref="C10:D25">
    <cfRule type="expression" dxfId="64" priority="689">
      <formula>C10&lt;&gt;"bitte auswählen"</formula>
    </cfRule>
    <cfRule type="expression" dxfId="63" priority="211">
      <formula>AND(C10="bitte auswählen",O10&gt;0)</formula>
    </cfRule>
  </conditionalFormatting>
  <conditionalFormatting sqref="E10:E25">
    <cfRule type="expression" dxfId="57" priority="983">
      <formula>E10&lt;&gt;"bitte auswählen"</formula>
    </cfRule>
    <cfRule type="expression" dxfId="56" priority="982">
      <formula>AND(E10="bitte auswählen",R10&gt;0)</formula>
    </cfRule>
  </conditionalFormatting>
  <conditionalFormatting sqref="F10:F25">
    <cfRule type="expression" dxfId="55" priority="626">
      <formula>AND(I10&gt;0,F10="bitte auswählen")</formula>
    </cfRule>
  </conditionalFormatting>
  <conditionalFormatting sqref="F10:G25">
    <cfRule type="expression" dxfId="54" priority="627">
      <formula>F10&lt;&gt;"bitte auswählen"</formula>
    </cfRule>
  </conditionalFormatting>
  <conditionalFormatting sqref="F40:I40">
    <cfRule type="expression" dxfId="53" priority="1718">
      <formula>AND($O$40=0,$J$40&gt;0)</formula>
    </cfRule>
  </conditionalFormatting>
  <conditionalFormatting sqref="F37:O37">
    <cfRule type="expression" dxfId="52" priority="16">
      <formula>$F$37&lt;&gt;""</formula>
    </cfRule>
  </conditionalFormatting>
  <conditionalFormatting sqref="G6">
    <cfRule type="expression" dxfId="51" priority="4">
      <formula>$G$6&gt;5000</formula>
    </cfRule>
  </conditionalFormatting>
  <conditionalFormatting sqref="G10:G25">
    <cfRule type="expression" dxfId="50" priority="595">
      <formula>AND(C10&lt;&gt;"bitte auswählen",G10="bitte auswählen")</formula>
    </cfRule>
    <cfRule type="expression" dxfId="49" priority="767">
      <formula>AND(O10&gt;0,G10="bitte auswählen")</formula>
    </cfRule>
  </conditionalFormatting>
  <conditionalFormatting sqref="G11:G25">
    <cfRule type="expression" dxfId="48" priority="368">
      <formula>AND(O11&gt;0,G11="bitte auswählen")</formula>
    </cfRule>
    <cfRule type="expression" dxfId="47" priority="367">
      <formula>G11&lt;&gt;"bitte auswählen"</formula>
    </cfRule>
    <cfRule type="expression" dxfId="46" priority="366">
      <formula>AND(C11&lt;&gt;"bitte auswählen",G11="bitte auswählen")</formula>
    </cfRule>
  </conditionalFormatting>
  <conditionalFormatting sqref="G26 I26">
    <cfRule type="expression" dxfId="45" priority="839">
      <formula>$G$26&gt;16</formula>
    </cfRule>
  </conditionalFormatting>
  <conditionalFormatting sqref="H10:H25">
    <cfRule type="expression" dxfId="42" priority="21">
      <formula>H10&lt;&gt;""</formula>
    </cfRule>
    <cfRule type="expression" dxfId="41" priority="22">
      <formula>G10&lt;&gt;"bitte auswählen"</formula>
    </cfRule>
  </conditionalFormatting>
  <conditionalFormatting sqref="I10:I25">
    <cfRule type="expression" dxfId="39" priority="23">
      <formula>AND(C10="bitte auswählen",I10&lt;&gt;"")</formula>
    </cfRule>
    <cfRule type="expression" dxfId="38" priority="32">
      <formula>AND(C10&lt;&gt;"bitte auswählen",I10&lt;&gt;"")</formula>
    </cfRule>
  </conditionalFormatting>
  <conditionalFormatting sqref="J10:J25">
    <cfRule type="expression" dxfId="37" priority="1569">
      <formula>J10&lt;&gt;""</formula>
    </cfRule>
  </conditionalFormatting>
  <conditionalFormatting sqref="M10:N25">
    <cfRule type="expression" dxfId="33" priority="501">
      <formula>AND(C10&lt;&gt;"bitte auswählen",M10&lt;&gt;"")</formula>
    </cfRule>
  </conditionalFormatting>
  <conditionalFormatting sqref="O39:O41">
    <cfRule type="expression" dxfId="30" priority="834">
      <formula>$O$40=0</formula>
    </cfRule>
  </conditionalFormatting>
  <dataValidations xWindow="499" yWindow="518" count="5">
    <dataValidation allowBlank="1" errorTitle="Achtung!" error="Maximale Anzahl an Dienstreisetagen überschritten!" sqref="G26 I26" xr:uid="{00000000-0002-0000-0F00-000000000000}"/>
    <dataValidation type="decimal" operator="greaterThanOrEqual" allowBlank="1" showInputMessage="1" showErrorMessage="1" sqref="F40" xr:uid="{00000000-0002-0000-0F00-000001000000}">
      <formula1>0</formula1>
    </dataValidation>
    <dataValidation allowBlank="1" showInputMessage="1" showErrorMessage="1" promptTitle="Bitte beachten Sie:" prompt="Ausgaben für Dienstwagen sind nicht zuwendungsfähig." sqref="I10:I25" xr:uid="{00000000-0002-0000-0F00-000002000000}"/>
    <dataValidation type="whole" allowBlank="1" showInputMessage="1" showErrorMessage="1" sqref="H10:H25" xr:uid="{00000000-0002-0000-0F00-000003000000}">
      <formula1>1</formula1>
      <formula2>100</formula2>
    </dataValidation>
    <dataValidation errorStyle="warning" allowBlank="1" errorTitle="Achtung:" error="Nach unserer Erfahrung sind Teilnahmegebühren für Vernetzungstreffen unüblich. Bitte erläutern Sie Ihre Angaben im Tabellenblatt 'Anmerkungen'." promptTitle="Achtung:" prompt="Nach unserer Erfahrung sind Teilnahmegebühren für Vernetzungstreffen unüblich. Bitte erläutern Sie Ihre Angaben im Tabellenblatt 'Anmerkungen'." sqref="M10:N10" xr:uid="{00000000-0002-0000-0F00-000004000000}"/>
  </dataValidations>
  <printOptions horizontalCentered="1"/>
  <pageMargins left="0.39370078740157483" right="0.19685039370078741" top="0.19685039370078741" bottom="0.19685039370078741" header="0" footer="0"/>
  <pageSetup paperSize="9" scale="7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80" r:id="rId5" name="Option Button 56">
              <controlPr defaultSize="0" autoFill="0" autoLine="0" autoPict="0">
                <anchor moveWithCells="1">
                  <from>
                    <xdr:col>2</xdr:col>
                    <xdr:colOff>203200</xdr:colOff>
                    <xdr:row>33</xdr:row>
                    <xdr:rowOff>69850</xdr:rowOff>
                  </from>
                  <to>
                    <xdr:col>3</xdr:col>
                    <xdr:colOff>127000</xdr:colOff>
                    <xdr:row>34</xdr:row>
                    <xdr:rowOff>95250</xdr:rowOff>
                  </to>
                </anchor>
              </controlPr>
            </control>
          </mc:Choice>
        </mc:AlternateContent>
        <mc:AlternateContent xmlns:mc="http://schemas.openxmlformats.org/markup-compatibility/2006">
          <mc:Choice Requires="x14">
            <control shapeId="1081" r:id="rId6" name="Option Button 57">
              <controlPr defaultSize="0" autoFill="0" autoLine="0" autoPict="0">
                <anchor moveWithCells="1">
                  <from>
                    <xdr:col>6</xdr:col>
                    <xdr:colOff>762000</xdr:colOff>
                    <xdr:row>33</xdr:row>
                    <xdr:rowOff>76200</xdr:rowOff>
                  </from>
                  <to>
                    <xdr:col>7</xdr:col>
                    <xdr:colOff>209550</xdr:colOff>
                    <xdr:row>34</xdr:row>
                    <xdr:rowOff>107950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1</xdr:col>
                    <xdr:colOff>146050</xdr:colOff>
                    <xdr:row>3</xdr:row>
                    <xdr:rowOff>165100</xdr:rowOff>
                  </from>
                  <to>
                    <xdr:col>4</xdr:col>
                    <xdr:colOff>603250</xdr:colOff>
                    <xdr:row>4</xdr:row>
                    <xdr:rowOff>133350</xdr:rowOff>
                  </to>
                </anchor>
              </controlPr>
            </control>
          </mc:Choice>
        </mc:AlternateContent>
        <mc:AlternateContent xmlns:mc="http://schemas.openxmlformats.org/markup-compatibility/2006">
          <mc:Choice Requires="x14">
            <control shapeId="1089" r:id="rId8" name="Option Button 65">
              <controlPr defaultSize="0" autoFill="0" autoLine="0" autoPict="0">
                <anchor moveWithCells="1">
                  <from>
                    <xdr:col>12</xdr:col>
                    <xdr:colOff>342900</xdr:colOff>
                    <xdr:row>33</xdr:row>
                    <xdr:rowOff>76200</xdr:rowOff>
                  </from>
                  <to>
                    <xdr:col>13</xdr:col>
                    <xdr:colOff>209550</xdr:colOff>
                    <xdr:row>34</xdr:row>
                    <xdr:rowOff>107950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xdr:col>
                    <xdr:colOff>38100</xdr:colOff>
                    <xdr:row>28</xdr:row>
                    <xdr:rowOff>31750</xdr:rowOff>
                  </from>
                  <to>
                    <xdr:col>2</xdr:col>
                    <xdr:colOff>266700</xdr:colOff>
                    <xdr:row>28</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3" id="{5767B99E-325E-4418-A795-1EF6317D0E47}">
            <xm:f>menu!$H$4&gt;0</xm:f>
            <x14:dxf>
              <fill>
                <patternFill>
                  <bgColor rgb="FFEBF1DE"/>
                </patternFill>
              </fill>
            </x14:dxf>
          </x14:cfRule>
          <xm:sqref>C31</xm:sqref>
        </x14:conditionalFormatting>
        <x14:conditionalFormatting xmlns:xm="http://schemas.microsoft.com/office/excel/2006/main">
          <x14:cfRule type="expression" priority="30" id="{E235D7C8-3DFB-4358-8E86-4C78C54DF926}">
            <xm:f>menu!$U$4=FALSE</xm:f>
            <x14:dxf>
              <font>
                <color theme="0"/>
              </font>
              <fill>
                <patternFill>
                  <fgColor theme="0"/>
                  <bgColor theme="0"/>
                </patternFill>
              </fill>
              <border>
                <left/>
                <right/>
                <top/>
                <bottom/>
                <vertical/>
                <horizontal/>
              </border>
            </x14:dxf>
          </x14:cfRule>
          <xm:sqref>C42</xm:sqref>
        </x14:conditionalFormatting>
        <x14:conditionalFormatting xmlns:xm="http://schemas.microsoft.com/office/excel/2006/main">
          <x14:cfRule type="expression" priority="3" id="{596D3053-C96A-420E-86C6-8462DB1C9D58}">
            <xm:f>'C:\KKS\Fachliche-Schwerpunkte\06_Kommune\11_Excel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C6:E6</xm:sqref>
        </x14:conditionalFormatting>
        <x14:conditionalFormatting xmlns:xm="http://schemas.microsoft.com/office/excel/2006/main">
          <x14:cfRule type="expression" priority="18" id="{7B514953-57EF-4D00-8683-01AF412FAF57}">
            <xm:f>menu!$U$6=FALSE</xm:f>
            <x14:dxf>
              <font>
                <color theme="0"/>
              </font>
              <fill>
                <patternFill>
                  <fgColor theme="0"/>
                  <bgColor theme="0"/>
                </patternFill>
              </fill>
              <border>
                <left/>
                <right/>
                <top/>
                <bottom/>
                <vertical/>
                <horizontal/>
              </border>
            </x14:dxf>
          </x14:cfRule>
          <xm:sqref>C37:E37</xm:sqref>
        </x14:conditionalFormatting>
        <x14:conditionalFormatting xmlns:xm="http://schemas.microsoft.com/office/excel/2006/main">
          <x14:cfRule type="expression" priority="33" id="{AA21C338-826C-4DC5-9C24-7185F9622684}">
            <xm:f>menu!$H$4=1</xm:f>
            <x14:dxf>
              <fill>
                <patternFill>
                  <bgColor rgb="FFEBF1DE"/>
                </patternFill>
              </fill>
            </x14:dxf>
          </x14:cfRule>
          <xm:sqref>C34:F35</xm:sqref>
        </x14:conditionalFormatting>
        <x14:conditionalFormatting xmlns:xm="http://schemas.microsoft.com/office/excel/2006/main">
          <x14:cfRule type="expression" priority="19" id="{0441662A-4E2F-462B-8C2B-59F8DDF3B571}">
            <xm:f>AND(menu!$A$6=TRUE,$H$29:$I$29&lt;&gt;"bitte auswählen")</xm:f>
            <x14:dxf>
              <fill>
                <patternFill>
                  <bgColor rgb="FFEBF1DE"/>
                </patternFill>
              </fill>
            </x14:dxf>
          </x14:cfRule>
          <xm:sqref>C29:N29</xm:sqref>
        </x14:conditionalFormatting>
        <x14:conditionalFormatting xmlns:xm="http://schemas.microsoft.com/office/excel/2006/main">
          <x14:cfRule type="expression" priority="17" id="{E70B322B-6725-43BB-8B59-8CD8E7C4B508}">
            <xm:f>menu!$H$4&lt;&gt;3</xm:f>
            <x14:dxf>
              <font>
                <color theme="0"/>
              </font>
              <fill>
                <patternFill>
                  <bgColor theme="0"/>
                </patternFill>
              </fill>
              <border>
                <left/>
                <right/>
                <top/>
                <bottom/>
                <vertical/>
                <horizontal/>
              </border>
            </x14:dxf>
          </x14:cfRule>
          <xm:sqref>C37:O37</xm:sqref>
        </x14:conditionalFormatting>
        <x14:conditionalFormatting xmlns:xm="http://schemas.microsoft.com/office/excel/2006/main">
          <x14:cfRule type="expression" priority="2" id="{052C5CF6-8E22-4B65-9A68-D4E5A8378768}">
            <xm:f>'C:\KKS\Fachliche-Schwerpunkte\06_Kommune\11_Excel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G6:H6</xm:sqref>
        </x14:conditionalFormatting>
        <x14:conditionalFormatting xmlns:xm="http://schemas.microsoft.com/office/excel/2006/main">
          <x14:cfRule type="expression" priority="140" id="{ACD57159-BC0B-47ED-BB49-9F1685532974}">
            <xm:f>menu!$H$4=2</xm:f>
            <x14:dxf>
              <fill>
                <patternFill>
                  <bgColor rgb="FFEBF1DE"/>
                </patternFill>
              </fill>
            </x14:dxf>
          </x14:cfRule>
          <xm:sqref>G34:L35</xm:sqref>
        </x14:conditionalFormatting>
        <x14:conditionalFormatting xmlns:xm="http://schemas.microsoft.com/office/excel/2006/main">
          <x14:cfRule type="iconSet" priority="1" id="{86A15F1A-C573-4D6F-AC80-9918C06B38E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H6</xm:sqref>
        </x14:conditionalFormatting>
        <x14:conditionalFormatting xmlns:xm="http://schemas.microsoft.com/office/excel/2006/main">
          <x14:cfRule type="expression" priority="20" id="{FD7D0065-C554-4E18-9CDE-D0F27BF3B57E}">
            <xm:f>F10=menu!$D$12</xm:f>
            <x14:dxf>
              <fill>
                <patternFill patternType="lightDown">
                  <fgColor theme="1"/>
                  <bgColor theme="0"/>
                </patternFill>
              </fill>
            </x14:dxf>
          </x14:cfRule>
          <xm:sqref>I10:I25</xm:sqref>
        </x14:conditionalFormatting>
        <x14:conditionalFormatting xmlns:xm="http://schemas.microsoft.com/office/excel/2006/main">
          <x14:cfRule type="expression" priority="10" id="{A36C51FE-CE19-4FF3-9048-6219BAA2D6F9}">
            <xm:f>menu!$U$6=FALSE</xm:f>
            <x14:dxf>
              <border>
                <left/>
                <right/>
                <top/>
                <bottom/>
                <vertical/>
                <horizontal/>
              </border>
            </x14:dxf>
          </x14:cfRule>
          <xm:sqref>K3</xm:sqref>
        </x14:conditionalFormatting>
        <x14:conditionalFormatting xmlns:xm="http://schemas.microsoft.com/office/excel/2006/main">
          <x14:cfRule type="expression" priority="11" id="{364EAF7F-92FF-492F-A12C-3D941DE93FD5}">
            <xm:f>menu!$U$6=FALSE</xm:f>
            <x14:dxf>
              <font>
                <color theme="0"/>
              </font>
            </x14:dxf>
          </x14:cfRule>
          <xm:sqref>K3:O3</xm:sqref>
        </x14:conditionalFormatting>
        <x14:conditionalFormatting xmlns:xm="http://schemas.microsoft.com/office/excel/2006/main">
          <x14:cfRule type="expression" priority="5" id="{CBF6457C-8B27-40C1-A596-B21EEF6A7BD6}">
            <xm:f>menu!$U$6=FALSE</xm:f>
            <x14:dxf>
              <font>
                <b val="0"/>
                <i val="0"/>
                <strike val="0"/>
                <u val="none"/>
                <color theme="0"/>
              </font>
              <fill>
                <patternFill>
                  <fgColor theme="0"/>
                  <bgColor theme="0"/>
                </patternFill>
              </fill>
              <border>
                <left/>
                <right/>
                <top/>
                <bottom/>
                <vertical/>
                <horizontal/>
              </border>
            </x14:dxf>
          </x14:cfRule>
          <xm:sqref>K4:O4 C5:P5 I6:P6 C7:P44</xm:sqref>
        </x14:conditionalFormatting>
        <x14:conditionalFormatting xmlns:xm="http://schemas.microsoft.com/office/excel/2006/main">
          <x14:cfRule type="expression" priority="34" id="{B2E027C5-248B-40EB-AFC0-ADA609EA92AA}">
            <xm:f>menu!$H$4=3</xm:f>
            <x14:dxf>
              <fill>
                <patternFill>
                  <bgColor rgb="FFEBF1DE"/>
                </patternFill>
              </fill>
            </x14:dxf>
          </x14:cfRule>
          <xm:sqref>M34:O35</xm:sqref>
        </x14:conditionalFormatting>
        <x14:conditionalFormatting xmlns:xm="http://schemas.microsoft.com/office/excel/2006/main">
          <x14:cfRule type="expression" priority="9" id="{EA0A6F53-B3EC-4AD6-8DD6-F417A0E8B7E5}">
            <xm:f>AND(menu!$A$6=TRUE,$O$29="")</xm:f>
            <x14:dxf>
              <fill>
                <patternFill>
                  <bgColor rgb="FFE3B5A2"/>
                </patternFill>
              </fill>
            </x14:dxf>
          </x14:cfRule>
          <xm:sqref>O29</xm:sqref>
        </x14:conditionalFormatting>
        <x14:conditionalFormatting xmlns:xm="http://schemas.microsoft.com/office/excel/2006/main">
          <x14:cfRule type="iconSet" priority="65" id="{28A6E87F-9A55-43AB-ACFA-E55AE09FCFD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80" id="{A3EA1570-987E-4D12-A763-3192816D14C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P10:P25</xm:sqref>
        </x14:conditionalFormatting>
        <x14:conditionalFormatting xmlns:xm="http://schemas.microsoft.com/office/excel/2006/main">
          <x14:cfRule type="iconSet" priority="64" id="{FAF25291-DDB3-4DBF-B0DA-0B1B8E4E393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P12</xm:sqref>
        </x14:conditionalFormatting>
        <x14:conditionalFormatting xmlns:xm="http://schemas.microsoft.com/office/excel/2006/main">
          <x14:cfRule type="iconSet" priority="63" id="{E2CD9A49-29D7-4853-B332-A8F776E94AF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P13</xm:sqref>
        </x14:conditionalFormatting>
        <x14:conditionalFormatting xmlns:xm="http://schemas.microsoft.com/office/excel/2006/main">
          <x14:cfRule type="iconSet" priority="62" id="{ADEE6204-E906-45DE-881C-8844D1D48EB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P14</xm:sqref>
        </x14:conditionalFormatting>
        <x14:conditionalFormatting xmlns:xm="http://schemas.microsoft.com/office/excel/2006/main">
          <x14:cfRule type="iconSet" priority="61" id="{FA8DC3D0-952A-49E7-ADC6-29E1032680B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P15</xm:sqref>
        </x14:conditionalFormatting>
        <x14:conditionalFormatting xmlns:xm="http://schemas.microsoft.com/office/excel/2006/main">
          <x14:cfRule type="iconSet" priority="60" id="{25033BA8-6A4B-42F2-B018-BE2A93C5386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P16</xm:sqref>
        </x14:conditionalFormatting>
        <x14:conditionalFormatting xmlns:xm="http://schemas.microsoft.com/office/excel/2006/main">
          <x14:cfRule type="iconSet" priority="59" id="{4A9B161C-1FFF-44DE-809A-D91F40D281E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P17</xm:sqref>
        </x14:conditionalFormatting>
        <x14:conditionalFormatting xmlns:xm="http://schemas.microsoft.com/office/excel/2006/main">
          <x14:cfRule type="iconSet" priority="58" id="{0AD3198F-551A-4BC1-ADBE-6F3DC302ED5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P18</xm:sqref>
        </x14:conditionalFormatting>
        <x14:conditionalFormatting xmlns:xm="http://schemas.microsoft.com/office/excel/2006/main">
          <x14:cfRule type="iconSet" priority="57" id="{61026D4C-9C26-4557-B97D-EB3488164BD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P19</xm:sqref>
        </x14:conditionalFormatting>
        <x14:conditionalFormatting xmlns:xm="http://schemas.microsoft.com/office/excel/2006/main">
          <x14:cfRule type="iconSet" priority="56" id="{9515381F-F712-47CE-ADD9-F30840E2B61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P20</xm:sqref>
        </x14:conditionalFormatting>
        <x14:conditionalFormatting xmlns:xm="http://schemas.microsoft.com/office/excel/2006/main">
          <x14:cfRule type="iconSet" priority="55" id="{A1C3C2F5-4715-4A1A-B7E8-4590723F938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P21</xm:sqref>
        </x14:conditionalFormatting>
        <x14:conditionalFormatting xmlns:xm="http://schemas.microsoft.com/office/excel/2006/main">
          <x14:cfRule type="iconSet" priority="54" id="{013C3519-F315-4578-B8AC-6780F4EE5A6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P22</xm:sqref>
        </x14:conditionalFormatting>
        <x14:conditionalFormatting xmlns:xm="http://schemas.microsoft.com/office/excel/2006/main">
          <x14:cfRule type="iconSet" priority="53" id="{F4B39DBC-1E34-47BD-8E5C-CAE85644AB5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P23</xm:sqref>
        </x14:conditionalFormatting>
        <x14:conditionalFormatting xmlns:xm="http://schemas.microsoft.com/office/excel/2006/main">
          <x14:cfRule type="iconSet" priority="52" id="{CB6103FA-D55D-43CE-9C02-82B33995768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P24</xm:sqref>
        </x14:conditionalFormatting>
        <x14:conditionalFormatting xmlns:xm="http://schemas.microsoft.com/office/excel/2006/main">
          <x14:cfRule type="iconSet" priority="51" id="{8A8F1C31-3E9A-45A7-8B71-B0C934852A0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P25</xm:sqref>
        </x14:conditionalFormatting>
        <x14:conditionalFormatting xmlns:xm="http://schemas.microsoft.com/office/excel/2006/main">
          <x14:cfRule type="iconSet" priority="7" id="{B2EB6FE8-705E-4740-8D2A-CCB5DF6BA9D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8" id="{556A8D7A-C61B-4889-8EB4-D460B6D3DC76}">
            <xm:f>menu!$U$6=FALSE</xm:f>
            <x14:dxf>
              <font>
                <color theme="0"/>
              </font>
              <fill>
                <patternFill>
                  <fgColor theme="0"/>
                  <bgColor theme="0"/>
                </patternFill>
              </fill>
              <border>
                <left/>
                <right/>
                <top/>
                <bottom/>
                <vertical/>
                <horizontal/>
              </border>
            </x14:dxf>
          </x14:cfRule>
          <xm:sqref>P29</xm:sqref>
        </x14:conditionalFormatting>
        <x14:conditionalFormatting xmlns:xm="http://schemas.microsoft.com/office/excel/2006/main">
          <x14:cfRule type="expression" priority="41" id="{32A32252-A030-42C0-98C3-BE07E5724B3F}">
            <xm:f>menu!$U$6=FALSE</xm:f>
            <x14:dxf>
              <font>
                <color theme="0"/>
              </font>
              <fill>
                <patternFill>
                  <fgColor theme="0"/>
                  <bgColor theme="0"/>
                </patternFill>
              </fill>
              <border>
                <left/>
                <right/>
                <top/>
                <bottom/>
                <vertical/>
                <horizontal/>
              </border>
            </x14:dxf>
          </x14:cfRule>
          <x14:cfRule type="iconSet" priority="40" id="{C6DAD3AF-F560-40E4-BA48-A8D5FC8F808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P34</xm:sqref>
        </x14:conditionalFormatting>
        <x14:conditionalFormatting xmlns:xm="http://schemas.microsoft.com/office/excel/2006/main">
          <x14:cfRule type="iconSet" priority="14" id="{976B8AED-AC44-41DA-BC4E-0B11E7E5336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P37</xm:sqref>
        </x14:conditionalFormatting>
        <x14:conditionalFormatting xmlns:xm="http://schemas.microsoft.com/office/excel/2006/main">
          <x14:cfRule type="expression" priority="13" id="{085B43E6-9C0C-4C62-AF59-720B0EDEC99B}">
            <xm:f>menu!$U$6=FALSE</xm:f>
            <x14:dxf>
              <font>
                <color theme="0"/>
              </font>
              <fill>
                <patternFill>
                  <fgColor theme="0"/>
                  <bgColor theme="0"/>
                </patternFill>
              </fill>
              <border>
                <left/>
                <right/>
                <top/>
                <bottom/>
                <vertical/>
                <horizontal/>
              </border>
            </x14:dxf>
          </x14:cfRule>
          <xm:sqref>P37:P38</xm:sqref>
        </x14:conditionalFormatting>
        <x14:conditionalFormatting xmlns:xm="http://schemas.microsoft.com/office/excel/2006/main">
          <x14:cfRule type="expression" priority="39" id="{6A9AE0E6-4C3F-4268-B24A-2F2CB4408E95}">
            <xm:f>menu!$U$6=FALSE</xm:f>
            <x14:dxf>
              <font>
                <color theme="0"/>
              </font>
              <fill>
                <patternFill>
                  <fgColor theme="0"/>
                  <bgColor theme="0"/>
                </patternFill>
              </fill>
              <border>
                <left/>
                <right/>
                <top/>
                <bottom/>
                <vertical/>
                <horizontal/>
              </border>
            </x14:dxf>
          </x14:cfRule>
          <x14:cfRule type="iconSet" priority="38" id="{B5D9BBD5-4CB0-41B8-9FEA-D9973DCEA8A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P40:P41</xm:sqref>
        </x14:conditionalFormatting>
      </x14:conditionalFormattings>
    </ext>
    <ext xmlns:x14="http://schemas.microsoft.com/office/spreadsheetml/2009/9/main" uri="{CCE6A557-97BC-4b89-ADB6-D9C93CAAB3DF}">
      <x14:dataValidations xmlns:xm="http://schemas.microsoft.com/office/excel/2006/main" xWindow="499" yWindow="518" count="6">
        <x14:dataValidation type="list" allowBlank="1" showInputMessage="1" showErrorMessage="1" xr:uid="{00000000-0002-0000-0F00-000005000000}">
          <x14:formula1>
            <xm:f>menu!$A$9:$A$13</xm:f>
          </x14:formula1>
          <xm:sqref>C10:C25</xm:sqref>
        </x14:dataValidation>
        <x14:dataValidation type="list" allowBlank="1" showInputMessage="1" showErrorMessage="1" xr:uid="{00000000-0002-0000-0F00-000006000000}">
          <x14:formula1>
            <xm:f>menu!$H$9:$H$14</xm:f>
          </x14:formula1>
          <xm:sqref>G10:G25</xm:sqref>
        </x14:dataValidation>
        <x14:dataValidation type="list" allowBlank="1" showInputMessage="1" showErrorMessage="1" xr:uid="{00000000-0002-0000-0F00-000007000000}">
          <x14:formula1>
            <xm:f>menu!$D$9:$D$12</xm:f>
          </x14:formula1>
          <xm:sqref>F10:F25</xm:sqref>
        </x14:dataValidation>
        <x14:dataValidation type="list" allowBlank="1" showInputMessage="1" showErrorMessage="1" xr:uid="{00000000-0002-0000-0F00-000008000000}">
          <x14:formula1>
            <xm:f>menu!$A$2:$A$4</xm:f>
          </x14:formula1>
          <xm:sqref>H29:I29</xm:sqref>
        </x14:dataValidation>
        <x14:dataValidation type="custom" allowBlank="1" showInputMessage="1" showErrorMessage="1" error="Ausgaben können nur für Jahre eingegeben werden, in denen ein Klimaschutzmanager eingestellt ist. " xr:uid="{00000000-0002-0000-0F00-000009000000}">
          <x14:formula1>
            <xm:f>Personal!G51&gt;0</xm:f>
          </x14:formula1>
          <xm:sqref>H40:I40</xm:sqref>
        </x14:dataValidation>
        <x14:dataValidation type="custom" allowBlank="1" showInputMessage="1" showErrorMessage="1" xr:uid="{00000000-0002-0000-0F00-00000A000000}">
          <x14:formula1>
            <xm:f>Personal!F51&gt;0</xm:f>
          </x14:formula1>
          <xm:sqref>G40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rgb="FFFCF2F7"/>
    <pageSetUpPr fitToPage="1"/>
  </sheetPr>
  <dimension ref="B3:O25"/>
  <sheetViews>
    <sheetView showGridLines="0" showRowColHeaders="0" view="pageBreakPreview" zoomScaleNormal="100" zoomScaleSheetLayoutView="100" workbookViewId="0">
      <selection activeCell="C11" sqref="C11:I11"/>
    </sheetView>
  </sheetViews>
  <sheetFormatPr baseColWidth="10" defaultColWidth="11.453125" defaultRowHeight="11.5" x14ac:dyDescent="0.25"/>
  <cols>
    <col min="1" max="2" width="2.26953125" style="86" customWidth="1"/>
    <col min="3" max="3" width="4.26953125" style="86" customWidth="1"/>
    <col min="4" max="4" width="8.54296875" style="86" customWidth="1"/>
    <col min="5" max="5" width="24.26953125" style="86" customWidth="1"/>
    <col min="6" max="8" width="12.453125" style="86" customWidth="1"/>
    <col min="9" max="9" width="4.7265625" style="86" customWidth="1"/>
    <col min="10" max="10" width="8.453125" style="86" customWidth="1"/>
    <col min="11" max="11" width="12.54296875" style="86" customWidth="1"/>
    <col min="12" max="12" width="15.81640625" style="86" customWidth="1"/>
    <col min="13" max="13" width="3.26953125" style="86" customWidth="1"/>
    <col min="14" max="14" width="2.26953125" style="86" customWidth="1"/>
    <col min="15" max="16384" width="11.453125" style="86"/>
  </cols>
  <sheetData>
    <row r="3" spans="2:15" ht="17.25" customHeight="1" x14ac:dyDescent="0.25">
      <c r="C3" s="749" t="s">
        <v>104</v>
      </c>
      <c r="D3" s="749"/>
      <c r="E3" s="749"/>
      <c r="F3" s="109"/>
      <c r="G3" s="109"/>
      <c r="H3" s="151"/>
      <c r="I3" s="87"/>
      <c r="J3" s="88" t="s">
        <v>63</v>
      </c>
    </row>
    <row r="4" spans="2:15" ht="17.25" customHeight="1" x14ac:dyDescent="0.25">
      <c r="C4" s="749"/>
      <c r="D4" s="749"/>
      <c r="E4" s="749"/>
      <c r="F4" s="109"/>
      <c r="G4" s="109"/>
      <c r="H4" s="151"/>
      <c r="I4" s="166"/>
      <c r="J4" s="89" t="s">
        <v>62</v>
      </c>
    </row>
    <row r="5" spans="2:15" ht="17.25" customHeight="1" x14ac:dyDescent="0.25">
      <c r="C5" s="109"/>
      <c r="D5" s="109"/>
      <c r="E5" s="109"/>
      <c r="F5" s="109"/>
      <c r="G5" s="109"/>
      <c r="H5" s="151"/>
      <c r="I5" s="90"/>
      <c r="J5" s="89" t="s">
        <v>61</v>
      </c>
    </row>
    <row r="6" spans="2:15" ht="17.25" customHeight="1" x14ac:dyDescent="0.25">
      <c r="C6" s="129" t="s">
        <v>593</v>
      </c>
      <c r="F6" s="171">
        <f>SUM(F18:J18)</f>
        <v>0</v>
      </c>
      <c r="G6" s="8">
        <f>IF(F6&gt;5000,1,0)</f>
        <v>0</v>
      </c>
      <c r="I6" s="91"/>
      <c r="J6" s="89" t="s">
        <v>48</v>
      </c>
    </row>
    <row r="7" spans="2:15" ht="17.25" customHeight="1" x14ac:dyDescent="0.25">
      <c r="I7" s="92"/>
      <c r="J7" s="89" t="s">
        <v>49</v>
      </c>
    </row>
    <row r="8" spans="2:15" ht="17.25" customHeight="1" x14ac:dyDescent="0.25">
      <c r="C8" s="929" t="str">
        <f>IF(K18&gt;5000,Texte!A47,"")</f>
        <v/>
      </c>
      <c r="D8" s="929"/>
      <c r="E8" s="929"/>
      <c r="F8" s="929"/>
      <c r="G8" s="929"/>
      <c r="H8" s="929"/>
    </row>
    <row r="9" spans="2:15" ht="15" customHeight="1" thickBot="1" x14ac:dyDescent="0.3">
      <c r="C9" s="757" t="s">
        <v>188</v>
      </c>
      <c r="D9" s="757"/>
      <c r="E9" s="757"/>
      <c r="F9" s="757"/>
      <c r="G9" s="757"/>
      <c r="H9" s="757"/>
      <c r="I9" s="757"/>
      <c r="J9" s="757"/>
      <c r="K9" s="757"/>
      <c r="L9" s="757"/>
    </row>
    <row r="10" spans="2:15" ht="23.25" customHeight="1" x14ac:dyDescent="0.25">
      <c r="B10" s="93"/>
      <c r="C10" s="793" t="s">
        <v>497</v>
      </c>
      <c r="D10" s="794"/>
      <c r="E10" s="794"/>
      <c r="F10" s="794"/>
      <c r="G10" s="794"/>
      <c r="H10" s="794"/>
      <c r="I10" s="795"/>
      <c r="J10" s="200" t="s">
        <v>214</v>
      </c>
      <c r="K10" s="200" t="s">
        <v>215</v>
      </c>
      <c r="L10" s="94" t="s">
        <v>11</v>
      </c>
    </row>
    <row r="11" spans="2:15" ht="64.5" customHeight="1" x14ac:dyDescent="0.25">
      <c r="B11" s="93"/>
      <c r="C11" s="751" t="s">
        <v>500</v>
      </c>
      <c r="D11" s="752"/>
      <c r="E11" s="752"/>
      <c r="F11" s="752"/>
      <c r="G11" s="752"/>
      <c r="H11" s="752"/>
      <c r="I11" s="753"/>
      <c r="J11" s="377"/>
      <c r="K11" s="131"/>
      <c r="L11" s="207">
        <f>J11*K11</f>
        <v>0</v>
      </c>
      <c r="M11" s="9">
        <f>IF(menu!$U$8=FALSE,0,IF(AND(menu!$U$8=TRUE,L11=0),0,IF(AND(L11&gt;0,OR(C11="",LEFT(C11,3)="Bsp")),1,IF(L11&lt;=5000,0,1))))</f>
        <v>0</v>
      </c>
      <c r="O11" s="209"/>
    </row>
    <row r="12" spans="2:15" ht="64.5" customHeight="1" x14ac:dyDescent="0.25">
      <c r="B12" s="93"/>
      <c r="C12" s="751" t="s">
        <v>216</v>
      </c>
      <c r="D12" s="752"/>
      <c r="E12" s="752"/>
      <c r="F12" s="752"/>
      <c r="G12" s="752"/>
      <c r="H12" s="752"/>
      <c r="I12" s="753"/>
      <c r="J12" s="377"/>
      <c r="K12" s="131"/>
      <c r="L12" s="207">
        <f t="shared" ref="L12:L13" si="0">J12*K12</f>
        <v>0</v>
      </c>
      <c r="M12" s="9">
        <f>IF(menu!$U$8=FALSE,0,IF(AND(menu!$U$8=TRUE,L12=0),0,IF(AND(L12&gt;0,OR(C12="",LEFT(C12,3)="Bsp")),1,IF(L12&lt;=5000,0,1))))</f>
        <v>0</v>
      </c>
    </row>
    <row r="13" spans="2:15" ht="64.5" customHeight="1" thickBot="1" x14ac:dyDescent="0.3">
      <c r="B13" s="93"/>
      <c r="C13" s="751" t="s">
        <v>499</v>
      </c>
      <c r="D13" s="752"/>
      <c r="E13" s="752"/>
      <c r="F13" s="752"/>
      <c r="G13" s="752"/>
      <c r="H13" s="752"/>
      <c r="I13" s="753"/>
      <c r="J13" s="377"/>
      <c r="K13" s="131"/>
      <c r="L13" s="207">
        <f t="shared" si="0"/>
        <v>0</v>
      </c>
      <c r="M13" s="9">
        <f>IF(menu!$U$8=FALSE,0,IF(AND(menu!$U$8=TRUE,L13=0),0,IF(AND(L13&gt;0,OR(C13="",LEFT(C13,3)="Bsp")),1,IF(L13&lt;=5000,0,1))))</f>
        <v>0</v>
      </c>
    </row>
    <row r="14" spans="2:15" ht="12" customHeight="1" thickBot="1" x14ac:dyDescent="0.3">
      <c r="C14" s="95"/>
      <c r="D14" s="95"/>
      <c r="E14" s="95"/>
      <c r="F14" s="95"/>
      <c r="G14" s="95"/>
      <c r="H14" s="95"/>
      <c r="I14" s="95"/>
      <c r="J14" s="96"/>
      <c r="K14" s="97" t="s">
        <v>17</v>
      </c>
      <c r="L14" s="98">
        <f>SUM(L11:L13)</f>
        <v>0</v>
      </c>
      <c r="M14" s="76"/>
    </row>
    <row r="15" spans="2:15" ht="12" customHeight="1" x14ac:dyDescent="0.25">
      <c r="C15" s="99"/>
      <c r="D15" s="99"/>
      <c r="E15" s="99"/>
      <c r="F15" s="99"/>
      <c r="G15" s="99"/>
      <c r="H15" s="99"/>
      <c r="I15" s="99"/>
      <c r="J15" s="99"/>
      <c r="K15" s="99"/>
      <c r="L15" s="100"/>
      <c r="M15" s="76"/>
    </row>
    <row r="16" spans="2:15" ht="15" customHeight="1" thickBot="1" x14ac:dyDescent="0.3">
      <c r="C16" s="805" t="s">
        <v>96</v>
      </c>
      <c r="D16" s="805"/>
      <c r="E16" s="805"/>
      <c r="F16" s="805"/>
      <c r="G16" s="805"/>
      <c r="H16" s="805"/>
      <c r="I16" s="805"/>
      <c r="J16" s="805"/>
      <c r="K16" s="805"/>
      <c r="L16" s="805"/>
      <c r="M16" s="76"/>
    </row>
    <row r="17" spans="3:13" ht="15" customHeight="1" x14ac:dyDescent="0.25">
      <c r="C17" s="783" t="s">
        <v>18</v>
      </c>
      <c r="D17" s="784"/>
      <c r="E17" s="101" t="s">
        <v>32</v>
      </c>
      <c r="F17" s="102" t="str">
        <f>Personal!E50</f>
        <v>Projektjahr 1</v>
      </c>
      <c r="G17" s="103" t="str">
        <f>Personal!F50</f>
        <v>Projektjahr 2</v>
      </c>
      <c r="H17" s="103" t="str">
        <f>Personal!G50</f>
        <v>Projektjahr 3</v>
      </c>
      <c r="I17" s="789" t="str">
        <f>Personal!H50</f>
        <v>Projektjahr 4</v>
      </c>
      <c r="J17" s="790"/>
      <c r="K17" s="104" t="s">
        <v>6</v>
      </c>
      <c r="L17" s="76" t="s">
        <v>90</v>
      </c>
      <c r="M17" s="76"/>
    </row>
    <row r="18" spans="3:13" ht="27.75" customHeight="1" thickBot="1" x14ac:dyDescent="0.3">
      <c r="C18" s="821" t="s">
        <v>100</v>
      </c>
      <c r="D18" s="822"/>
      <c r="E18" s="105" t="str">
        <f>LEFT(C9,34)</f>
        <v>Ausgaben für Konzeptfertigstellung</v>
      </c>
      <c r="F18" s="80"/>
      <c r="G18" s="82"/>
      <c r="H18" s="82"/>
      <c r="I18" s="823"/>
      <c r="J18" s="824"/>
      <c r="K18" s="85">
        <f>L14</f>
        <v>0</v>
      </c>
      <c r="L18" s="84">
        <f>K18-SUM(F18:I18)</f>
        <v>0</v>
      </c>
      <c r="M18" s="9">
        <f>IF(AND(menu!$U$8=TRUE,L18&lt;&gt;0),1,IF(L14&gt;5000,1,0))</f>
        <v>0</v>
      </c>
    </row>
    <row r="19" spans="3:13" ht="6" customHeight="1" x14ac:dyDescent="0.25"/>
    <row r="20" spans="3:13" ht="12.75" customHeight="1" x14ac:dyDescent="0.25">
      <c r="C20" s="722" t="s">
        <v>183</v>
      </c>
      <c r="D20" s="722"/>
      <c r="E20" s="722"/>
      <c r="F20" s="722"/>
      <c r="G20" s="722"/>
      <c r="H20" s="722"/>
      <c r="I20" s="722"/>
      <c r="J20" s="722"/>
      <c r="K20" s="722"/>
      <c r="L20" s="722"/>
      <c r="M20" s="722"/>
    </row>
    <row r="21" spans="3:13" ht="21" customHeight="1" x14ac:dyDescent="0.25">
      <c r="C21" s="718" t="str">
        <f>Basisdaten!C46</f>
        <v>Vorhabenbeschreibung 
4.1.10 a): Erstellung eines 
Fokuskonzeptes 2509_V3</v>
      </c>
      <c r="D21" s="719"/>
      <c r="E21" s="719"/>
      <c r="F21" s="719"/>
      <c r="G21" s="719"/>
      <c r="H21" s="719"/>
      <c r="I21" s="719"/>
      <c r="J21" s="719"/>
      <c r="K21" s="719"/>
      <c r="L21" s="719"/>
    </row>
    <row r="22" spans="3:13" ht="15" customHeight="1" x14ac:dyDescent="0.25">
      <c r="C22" s="106"/>
    </row>
    <row r="24" spans="3:13" ht="15" customHeight="1" x14ac:dyDescent="0.25">
      <c r="C24" s="107"/>
    </row>
    <row r="25" spans="3:13" x14ac:dyDescent="0.25">
      <c r="C25" s="107"/>
    </row>
  </sheetData>
  <sheetProtection selectLockedCells="1"/>
  <customSheetViews>
    <customSheetView guid="{68ABA936-E0C3-4F62-AA1D-4FD1F5462098}" showPageBreaks="1" showGridLines="0" showRowCol="0" fitToPage="1" printArea="1" view="pageBreakPreview">
      <selection activeCell="C14" sqref="C14:K14"/>
      <pageMargins left="0.39370078740157483" right="0.39370078740157483" top="0.39370078740157483" bottom="0.39370078740157483" header="0" footer="0"/>
      <printOptions horizontalCentered="1"/>
      <pageSetup paperSize="9" scale="76" orientation="portrait" r:id="rId1"/>
    </customSheetView>
  </customSheetViews>
  <mergeCells count="14">
    <mergeCell ref="C12:I12"/>
    <mergeCell ref="C13:I13"/>
    <mergeCell ref="C10:I10"/>
    <mergeCell ref="C3:E4"/>
    <mergeCell ref="C21:L21"/>
    <mergeCell ref="C9:L9"/>
    <mergeCell ref="C16:L16"/>
    <mergeCell ref="C17:D17"/>
    <mergeCell ref="C18:D18"/>
    <mergeCell ref="I17:J17"/>
    <mergeCell ref="I18:J18"/>
    <mergeCell ref="C20:M20"/>
    <mergeCell ref="C11:I11"/>
    <mergeCell ref="C8:H8"/>
  </mergeCells>
  <conditionalFormatting sqref="C11:I13">
    <cfRule type="expression" dxfId="23" priority="6">
      <formula>AND(L11&gt;0,OR(LEFT(C11,3)="Bsp",C11=""))</formula>
    </cfRule>
    <cfRule type="expression" dxfId="22" priority="7">
      <formula>AND(LEFT(C11,3)&lt;&gt;"Bsp",C11&lt;&gt;"")</formula>
    </cfRule>
    <cfRule type="expression" dxfId="21" priority="16">
      <formula>LEFT(C11,3)="Bsp"</formula>
    </cfRule>
  </conditionalFormatting>
  <conditionalFormatting sqref="F6">
    <cfRule type="expression" dxfId="19" priority="4">
      <formula>$F$6&gt;5000</formula>
    </cfRule>
  </conditionalFormatting>
  <conditionalFormatting sqref="F18:J18">
    <cfRule type="expression" dxfId="18" priority="82">
      <formula>AND($L$18=0,$K$18&lt;&gt;0)</formula>
    </cfRule>
    <cfRule type="expression" dxfId="17" priority="85">
      <formula>$L$18&lt;&gt;0</formula>
    </cfRule>
  </conditionalFormatting>
  <conditionalFormatting sqref="J11:K13">
    <cfRule type="expression" dxfId="15" priority="8">
      <formula>J11&gt;0</formula>
    </cfRule>
  </conditionalFormatting>
  <conditionalFormatting sqref="L17">
    <cfRule type="expression" dxfId="14" priority="84">
      <formula>$L$18=0</formula>
    </cfRule>
  </conditionalFormatting>
  <conditionalFormatting sqref="L18">
    <cfRule type="expression" dxfId="13" priority="83">
      <formula>L18&lt;&gt;0</formula>
    </cfRule>
    <cfRule type="expression" dxfId="12" priority="86">
      <formula>L18=0</formula>
    </cfRule>
    <cfRule type="expression" dxfId="11" priority="87">
      <formula>K18=0</formula>
    </cfRule>
  </conditionalFormatting>
  <dataValidations count="1">
    <dataValidation type="decimal" operator="greaterThan" allowBlank="1" showInputMessage="1" showErrorMessage="1" sqref="F18:G18" xr:uid="{00000000-0002-0000-1000-000000000000}">
      <formula1>0</formula1>
    </dataValidation>
  </dataValidations>
  <printOptions horizontalCentered="1"/>
  <pageMargins left="0.39370078740157483" right="0.19685039370078741" top="0.19685039370078741" bottom="0.19685039370078741" header="0" footer="0"/>
  <pageSetup paperSize="9" scale="7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
              <controlPr defaultSize="0" autoFill="0" autoLine="0" autoPict="0">
                <anchor moveWithCells="1">
                  <from>
                    <xdr:col>1</xdr:col>
                    <xdr:colOff>146050</xdr:colOff>
                    <xdr:row>3</xdr:row>
                    <xdr:rowOff>165100</xdr:rowOff>
                  </from>
                  <to>
                    <xdr:col>4</xdr:col>
                    <xdr:colOff>889000</xdr:colOff>
                    <xdr:row>4</xdr:row>
                    <xdr:rowOff>127000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5" id="{54AB50D3-839B-4430-BBEF-F2B9484F6833}">
            <xm:f>menu!$U$4=FALSE</xm:f>
            <x14:dxf>
              <font>
                <color theme="0"/>
              </font>
              <fill>
                <patternFill>
                  <fgColor theme="0"/>
                  <bgColor theme="0"/>
                </patternFill>
              </fill>
              <border>
                <left/>
                <right/>
                <top/>
                <bottom/>
                <vertical/>
                <horizontal/>
              </border>
            </x14:dxf>
          </x14:cfRule>
          <xm:sqref>C20</xm:sqref>
        </x14:conditionalFormatting>
        <x14:conditionalFormatting xmlns:xm="http://schemas.microsoft.com/office/excel/2006/main">
          <x14:cfRule type="expression" priority="2" id="{0D26A35F-C55F-488C-87A4-B09E36469F8B}">
            <xm:f>'C:\KKS\Fachliche-Schwerpunkte\06_Kommune\11_Excel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C6:G6</xm:sqref>
        </x14:conditionalFormatting>
        <x14:conditionalFormatting xmlns:xm="http://schemas.microsoft.com/office/excel/2006/main">
          <x14:cfRule type="expression" priority="2023" id="{C46500C9-AD39-47D1-A63B-06BA91BD7602}">
            <xm:f>Basisdaten!#REF!="Ja"</xm:f>
            <x14:dxf>
              <font>
                <color theme="0"/>
              </font>
              <fill>
                <patternFill>
                  <bgColor theme="0"/>
                </patternFill>
              </fill>
              <border>
                <left/>
                <right/>
                <top/>
                <bottom/>
                <vertical/>
                <horizontal/>
              </border>
            </x14:dxf>
          </x14:cfRule>
          <xm:sqref>C9:M21 I3:M8</xm:sqref>
        </x14:conditionalFormatting>
        <x14:conditionalFormatting xmlns:xm="http://schemas.microsoft.com/office/excel/2006/main">
          <x14:cfRule type="iconSet" priority="1" id="{C276B859-DC59-4B86-840B-7B3AE6DF294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G6</xm:sqref>
        </x14:conditionalFormatting>
        <x14:conditionalFormatting xmlns:xm="http://schemas.microsoft.com/office/excel/2006/main">
          <x14:cfRule type="expression" priority="5" id="{BF4BFCE1-A452-4DF2-A874-B91CFEE7FDD9}">
            <xm:f>menu!$U$8=FALSE</xm:f>
            <x14:dxf>
              <font>
                <color theme="0"/>
              </font>
              <fill>
                <patternFill>
                  <fgColor theme="0"/>
                  <bgColor theme="0"/>
                </patternFill>
              </fill>
              <border>
                <left/>
                <right/>
                <top/>
                <bottom/>
                <vertical/>
                <horizontal/>
              </border>
            </x14:dxf>
          </x14:cfRule>
          <xm:sqref>I3:L8 C9:M21</xm:sqref>
        </x14:conditionalFormatting>
        <x14:conditionalFormatting xmlns:xm="http://schemas.microsoft.com/office/excel/2006/main">
          <x14:cfRule type="iconSet" priority="32" id="{593460DA-DE6D-454B-A210-5E73885A0A2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M11</xm:sqref>
        </x14:conditionalFormatting>
        <x14:conditionalFormatting xmlns:xm="http://schemas.microsoft.com/office/excel/2006/main">
          <x14:cfRule type="iconSet" priority="31" id="{4ED045C5-E020-48B1-85D6-CAA58CFD6AC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M12</xm:sqref>
        </x14:conditionalFormatting>
        <x14:conditionalFormatting xmlns:xm="http://schemas.microsoft.com/office/excel/2006/main">
          <x14:cfRule type="iconSet" priority="30" id="{C87E681D-508F-4718-BC59-82BA66CDEB5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xm:sqref>
        </x14:conditionalFormatting>
        <x14:conditionalFormatting xmlns:xm="http://schemas.microsoft.com/office/excel/2006/main">
          <x14:cfRule type="iconSet" priority="27" id="{99EB36A5-B5E3-44FB-99A8-3EAA47DD416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28" id="{1A61E303-D5C2-4C20-9117-E3B4C2A8D18B}">
            <xm:f>menu!$U$6=FALSE</xm:f>
            <x14:dxf>
              <font>
                <color theme="0"/>
              </font>
              <fill>
                <patternFill>
                  <fgColor theme="0"/>
                  <bgColor theme="0"/>
                </patternFill>
              </fill>
              <border>
                <left/>
                <right/>
                <top/>
                <bottom/>
                <vertical/>
                <horizontal/>
              </border>
            </x14:dxf>
          </x14:cfRule>
          <xm:sqref>M18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Ausgaben können nur für Jahre eingegeben werden, in denen ein Klimaschutzmanager eingestellt ist. " xr:uid="{00000000-0002-0000-1000-000001000000}">
          <x14:formula1>
            <xm:f>Personal!H51&gt;0</xm:f>
          </x14:formula1>
          <xm:sqref>I18:J18</xm:sqref>
        </x14:dataValidation>
        <x14:dataValidation type="custom" operator="greaterThan" allowBlank="1" showInputMessage="1" showErrorMessage="1" error="Ausgaben können nur für Jahre eingegeben werden, in denen ein Klimaschutzmanager eingestellt ist. " xr:uid="{00000000-0002-0000-1000-000002000000}">
          <x14:formula1>
            <xm:f>Personal!G51&gt;0</xm:f>
          </x14:formula1>
          <xm:sqref>H18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tabColor theme="1"/>
  </sheetPr>
  <dimension ref="A1:P122"/>
  <sheetViews>
    <sheetView workbookViewId="0">
      <selection activeCell="I112" sqref="I112"/>
    </sheetView>
  </sheetViews>
  <sheetFormatPr baseColWidth="10" defaultRowHeight="14.5" x14ac:dyDescent="0.35"/>
  <cols>
    <col min="1" max="1" width="33.81640625" customWidth="1"/>
    <col min="2" max="2" width="21.54296875" customWidth="1"/>
    <col min="4" max="4" width="8.453125" customWidth="1"/>
    <col min="5" max="5" width="23.26953125" customWidth="1"/>
    <col min="6" max="6" width="14.26953125" customWidth="1"/>
    <col min="7" max="7" width="16.54296875" customWidth="1"/>
    <col min="8" max="8" width="15.54296875" customWidth="1"/>
    <col min="9" max="9" width="20.453125" customWidth="1"/>
  </cols>
  <sheetData>
    <row r="1" spans="1:16" ht="15" thickBot="1" x14ac:dyDescent="0.4">
      <c r="A1" t="s">
        <v>356</v>
      </c>
      <c r="B1" s="569" t="s">
        <v>357</v>
      </c>
      <c r="C1" s="569"/>
      <c r="D1" s="569"/>
      <c r="E1" s="569"/>
      <c r="F1" s="569"/>
      <c r="G1" s="569"/>
      <c r="H1" s="569"/>
    </row>
    <row r="2" spans="1:16" x14ac:dyDescent="0.35">
      <c r="A2" s="311" t="s">
        <v>358</v>
      </c>
      <c r="B2" s="312"/>
      <c r="C2" s="312"/>
      <c r="D2" s="312"/>
      <c r="E2" s="312"/>
      <c r="F2" s="312" t="s">
        <v>487</v>
      </c>
      <c r="G2" s="312" t="s">
        <v>510</v>
      </c>
      <c r="H2" s="313" t="s">
        <v>513</v>
      </c>
    </row>
    <row r="3" spans="1:16" ht="15" customHeight="1" x14ac:dyDescent="0.35">
      <c r="A3" s="314" t="s">
        <v>55</v>
      </c>
      <c r="B3" s="315" t="str">
        <f>Personal!E22</f>
        <v>bitte auswählen</v>
      </c>
      <c r="C3" s="315"/>
      <c r="D3" s="315"/>
      <c r="E3" s="315" t="str">
        <f>Personal!$E$50</f>
        <v>Projektjahr 1</v>
      </c>
      <c r="F3" s="315">
        <f>Personal!H22</f>
        <v>0</v>
      </c>
      <c r="G3" s="315">
        <f>Personal!$L$22</f>
        <v>0</v>
      </c>
      <c r="H3" s="316">
        <f>F3+G3</f>
        <v>0</v>
      </c>
      <c r="I3" s="389"/>
      <c r="J3" s="387"/>
      <c r="K3" s="387"/>
      <c r="L3" s="387"/>
      <c r="M3" s="387"/>
      <c r="N3" s="387"/>
      <c r="O3" s="387"/>
      <c r="P3" s="387"/>
    </row>
    <row r="4" spans="1:16" ht="15" customHeight="1" x14ac:dyDescent="0.35">
      <c r="A4" s="314"/>
      <c r="B4" s="315" t="str">
        <f>Personal!E29</f>
        <v/>
      </c>
      <c r="C4" s="315"/>
      <c r="D4" s="315"/>
      <c r="E4" s="315" t="str">
        <f>Personal!$F$50</f>
        <v>Projektjahr 2</v>
      </c>
      <c r="F4" s="315">
        <f>Personal!H29</f>
        <v>0</v>
      </c>
      <c r="G4" s="315">
        <f>Personal!$L$29</f>
        <v>0</v>
      </c>
      <c r="H4" s="316">
        <f t="shared" ref="H4:H17" si="0">F4+G4</f>
        <v>0</v>
      </c>
      <c r="I4" s="389"/>
      <c r="J4" s="387"/>
      <c r="K4" s="387"/>
      <c r="L4" s="387"/>
      <c r="M4" s="387"/>
      <c r="N4" s="387"/>
      <c r="O4" s="387"/>
      <c r="P4" s="387"/>
    </row>
    <row r="5" spans="1:16" ht="15" customHeight="1" x14ac:dyDescent="0.35">
      <c r="A5" s="314"/>
      <c r="B5" s="315" t="str">
        <f>Personal!E36</f>
        <v/>
      </c>
      <c r="C5" s="315"/>
      <c r="D5" s="315"/>
      <c r="E5" s="315" t="str">
        <f>Personal!$G$50</f>
        <v>Projektjahr 3</v>
      </c>
      <c r="F5" s="315">
        <f>Personal!H36</f>
        <v>0</v>
      </c>
      <c r="G5" s="315">
        <f>Personal!$L$36</f>
        <v>0</v>
      </c>
      <c r="H5" s="316">
        <f t="shared" si="0"/>
        <v>0</v>
      </c>
      <c r="I5" s="389"/>
      <c r="J5" s="387"/>
      <c r="K5" s="387"/>
      <c r="L5" s="387"/>
      <c r="M5" s="387"/>
      <c r="N5" s="387"/>
      <c r="O5" s="387"/>
      <c r="P5" s="387"/>
    </row>
    <row r="6" spans="1:16" ht="15" customHeight="1" x14ac:dyDescent="0.35">
      <c r="A6" s="317" t="s">
        <v>56</v>
      </c>
      <c r="B6" s="318" t="str">
        <f>Personal!E23</f>
        <v>bitte auswählen</v>
      </c>
      <c r="C6" s="318"/>
      <c r="D6" s="318"/>
      <c r="E6" s="318" t="str">
        <f>Personal!$E$50</f>
        <v>Projektjahr 1</v>
      </c>
      <c r="F6" s="318">
        <f>Personal!H23</f>
        <v>0</v>
      </c>
      <c r="G6" s="315">
        <f>Personal!$L$23</f>
        <v>0</v>
      </c>
      <c r="H6" s="316">
        <f t="shared" si="0"/>
        <v>0</v>
      </c>
      <c r="I6" s="389"/>
      <c r="J6" s="387"/>
      <c r="K6" s="387"/>
      <c r="L6" s="387"/>
      <c r="M6" s="387"/>
      <c r="N6" s="387"/>
      <c r="O6" s="387"/>
      <c r="P6" s="387"/>
    </row>
    <row r="7" spans="1:16" ht="15" customHeight="1" x14ac:dyDescent="0.35">
      <c r="A7" s="317"/>
      <c r="B7" s="318" t="str">
        <f>Personal!E30</f>
        <v/>
      </c>
      <c r="C7" s="318"/>
      <c r="D7" s="318"/>
      <c r="E7" s="318" t="str">
        <f>Personal!$F$50</f>
        <v>Projektjahr 2</v>
      </c>
      <c r="F7" s="318">
        <f>Personal!H30</f>
        <v>0</v>
      </c>
      <c r="G7" s="315">
        <f>Personal!$L$30</f>
        <v>0</v>
      </c>
      <c r="H7" s="316">
        <f t="shared" si="0"/>
        <v>0</v>
      </c>
      <c r="I7" s="389"/>
      <c r="J7" s="387"/>
      <c r="K7" s="387"/>
      <c r="L7" s="387"/>
      <c r="M7" s="387"/>
      <c r="N7" s="387"/>
      <c r="O7" s="387"/>
      <c r="P7" s="387"/>
    </row>
    <row r="8" spans="1:16" ht="15" customHeight="1" x14ac:dyDescent="0.35">
      <c r="A8" s="317"/>
      <c r="B8" s="318" t="str">
        <f>Personal!E37</f>
        <v/>
      </c>
      <c r="C8" s="318"/>
      <c r="D8" s="318"/>
      <c r="E8" s="318" t="str">
        <f>Personal!$G$50</f>
        <v>Projektjahr 3</v>
      </c>
      <c r="F8" s="318">
        <f>Personal!H37</f>
        <v>0</v>
      </c>
      <c r="G8" s="315">
        <f>Personal!$L$37</f>
        <v>0</v>
      </c>
      <c r="H8" s="316">
        <f t="shared" si="0"/>
        <v>0</v>
      </c>
      <c r="I8" s="389"/>
      <c r="J8" s="387"/>
      <c r="K8" s="387"/>
      <c r="L8" s="387"/>
      <c r="M8" s="387"/>
      <c r="N8" s="387"/>
      <c r="O8" s="387"/>
      <c r="P8" s="387"/>
    </row>
    <row r="9" spans="1:16" ht="15" customHeight="1" x14ac:dyDescent="0.35">
      <c r="A9" s="314" t="s">
        <v>57</v>
      </c>
      <c r="B9" s="315" t="str">
        <f>Personal!E24</f>
        <v>bitte auswählen</v>
      </c>
      <c r="C9" s="315"/>
      <c r="D9" s="315"/>
      <c r="E9" s="315" t="str">
        <f>Personal!$E$50</f>
        <v>Projektjahr 1</v>
      </c>
      <c r="F9" s="315">
        <f>Personal!H24</f>
        <v>0</v>
      </c>
      <c r="G9" s="315">
        <f>Personal!$L$24</f>
        <v>0</v>
      </c>
      <c r="H9" s="316">
        <f t="shared" si="0"/>
        <v>0</v>
      </c>
      <c r="I9" s="389"/>
      <c r="J9" s="387"/>
      <c r="K9" s="387"/>
      <c r="L9" s="387"/>
      <c r="M9" s="387"/>
      <c r="N9" s="387"/>
      <c r="O9" s="387"/>
      <c r="P9" s="387"/>
    </row>
    <row r="10" spans="1:16" ht="15" customHeight="1" x14ac:dyDescent="0.35">
      <c r="A10" s="314"/>
      <c r="B10" s="315" t="str">
        <f>Personal!E31</f>
        <v/>
      </c>
      <c r="C10" s="315"/>
      <c r="D10" s="315"/>
      <c r="E10" s="315" t="str">
        <f>Personal!$F$50</f>
        <v>Projektjahr 2</v>
      </c>
      <c r="F10" s="315">
        <f>Personal!H31</f>
        <v>0</v>
      </c>
      <c r="G10" s="315">
        <f>Personal!$L$31</f>
        <v>0</v>
      </c>
      <c r="H10" s="316">
        <f t="shared" si="0"/>
        <v>0</v>
      </c>
      <c r="I10" s="389"/>
      <c r="J10" s="387"/>
      <c r="K10" s="387"/>
      <c r="L10" s="387"/>
      <c r="M10" s="387"/>
      <c r="N10" s="387"/>
      <c r="O10" s="387"/>
      <c r="P10" s="387"/>
    </row>
    <row r="11" spans="1:16" ht="15" customHeight="1" x14ac:dyDescent="0.35">
      <c r="A11" s="314"/>
      <c r="B11" s="315" t="str">
        <f>Personal!E38</f>
        <v/>
      </c>
      <c r="C11" s="315"/>
      <c r="D11" s="315"/>
      <c r="E11" s="315" t="str">
        <f>Personal!$G$50</f>
        <v>Projektjahr 3</v>
      </c>
      <c r="F11" s="315">
        <f>Personal!H38</f>
        <v>0</v>
      </c>
      <c r="G11" s="315">
        <f>Personal!$L$38</f>
        <v>0</v>
      </c>
      <c r="H11" s="316">
        <f t="shared" si="0"/>
        <v>0</v>
      </c>
      <c r="I11" s="389"/>
      <c r="J11" s="387"/>
      <c r="K11" s="387"/>
      <c r="L11" s="387"/>
      <c r="M11" s="387"/>
      <c r="N11" s="387"/>
      <c r="O11" s="387"/>
      <c r="P11" s="387"/>
    </row>
    <row r="12" spans="1:16" ht="15" customHeight="1" x14ac:dyDescent="0.35">
      <c r="A12" s="317" t="s">
        <v>198</v>
      </c>
      <c r="B12" s="318" t="str">
        <f>Personal!E25</f>
        <v>bitte auswählen</v>
      </c>
      <c r="C12" s="318"/>
      <c r="D12" s="318"/>
      <c r="E12" s="318" t="str">
        <f>Personal!$E$50</f>
        <v>Projektjahr 1</v>
      </c>
      <c r="F12" s="318">
        <f>Personal!H25</f>
        <v>0</v>
      </c>
      <c r="G12" s="315">
        <f>Personal!$L$25</f>
        <v>0</v>
      </c>
      <c r="H12" s="316">
        <f t="shared" si="0"/>
        <v>0</v>
      </c>
      <c r="I12" s="389"/>
      <c r="J12" s="387"/>
      <c r="K12" s="387"/>
      <c r="L12" s="387"/>
      <c r="M12" s="387"/>
      <c r="N12" s="387"/>
      <c r="O12" s="387"/>
      <c r="P12" s="387"/>
    </row>
    <row r="13" spans="1:16" ht="15" customHeight="1" x14ac:dyDescent="0.35">
      <c r="A13" s="317"/>
      <c r="B13" s="318" t="str">
        <f>Personal!E32</f>
        <v/>
      </c>
      <c r="C13" s="318"/>
      <c r="D13" s="318"/>
      <c r="E13" s="318" t="str">
        <f>Personal!$F$50</f>
        <v>Projektjahr 2</v>
      </c>
      <c r="F13" s="318">
        <f>Personal!H32</f>
        <v>0</v>
      </c>
      <c r="G13" s="315">
        <f>Personal!$L$32</f>
        <v>0</v>
      </c>
      <c r="H13" s="316">
        <f t="shared" si="0"/>
        <v>0</v>
      </c>
      <c r="I13" s="389"/>
      <c r="J13" s="387"/>
      <c r="K13" s="387"/>
      <c r="L13" s="387"/>
      <c r="M13" s="387"/>
      <c r="N13" s="387"/>
      <c r="O13" s="387"/>
      <c r="P13" s="387"/>
    </row>
    <row r="14" spans="1:16" ht="15" customHeight="1" x14ac:dyDescent="0.35">
      <c r="A14" s="317"/>
      <c r="B14" s="318" t="str">
        <f>Personal!E39</f>
        <v/>
      </c>
      <c r="C14" s="318"/>
      <c r="D14" s="318"/>
      <c r="E14" s="318" t="str">
        <f>Personal!$G$50</f>
        <v>Projektjahr 3</v>
      </c>
      <c r="F14" s="318">
        <f>Personal!H39</f>
        <v>0</v>
      </c>
      <c r="G14" s="315">
        <f>Personal!$L$39</f>
        <v>0</v>
      </c>
      <c r="H14" s="316">
        <f t="shared" si="0"/>
        <v>0</v>
      </c>
      <c r="I14" s="389"/>
      <c r="J14" s="387"/>
      <c r="K14" s="387"/>
      <c r="L14" s="387"/>
      <c r="M14" s="387"/>
      <c r="N14" s="387"/>
      <c r="O14" s="387"/>
      <c r="P14" s="387"/>
    </row>
    <row r="15" spans="1:16" ht="15" customHeight="1" x14ac:dyDescent="0.35">
      <c r="A15" s="314" t="s">
        <v>199</v>
      </c>
      <c r="B15" s="315" t="str">
        <f>Personal!E26</f>
        <v>bitte auswählen</v>
      </c>
      <c r="C15" s="315"/>
      <c r="D15" s="315"/>
      <c r="E15" s="315" t="str">
        <f>Personal!$E$50</f>
        <v>Projektjahr 1</v>
      </c>
      <c r="F15" s="315">
        <f>Personal!H26</f>
        <v>0</v>
      </c>
      <c r="G15" s="315">
        <f>Personal!$L$26</f>
        <v>0</v>
      </c>
      <c r="H15" s="316">
        <f t="shared" si="0"/>
        <v>0</v>
      </c>
      <c r="I15" s="389"/>
      <c r="J15" s="387"/>
      <c r="K15" s="387"/>
      <c r="L15" s="387"/>
      <c r="M15" s="387"/>
      <c r="N15" s="387"/>
      <c r="O15" s="387"/>
      <c r="P15" s="387"/>
    </row>
    <row r="16" spans="1:16" ht="15" customHeight="1" x14ac:dyDescent="0.35">
      <c r="A16" s="314"/>
      <c r="B16" s="315" t="str">
        <f>Personal!E33</f>
        <v/>
      </c>
      <c r="C16" s="315"/>
      <c r="D16" s="315"/>
      <c r="E16" s="315" t="str">
        <f>Personal!$F$50</f>
        <v>Projektjahr 2</v>
      </c>
      <c r="F16" s="315">
        <f>Personal!H33</f>
        <v>0</v>
      </c>
      <c r="G16" s="315">
        <f>Personal!$L$33</f>
        <v>0</v>
      </c>
      <c r="H16" s="316">
        <f t="shared" si="0"/>
        <v>0</v>
      </c>
      <c r="I16" s="389"/>
      <c r="J16" s="387"/>
      <c r="K16" s="387"/>
      <c r="L16" s="387"/>
      <c r="M16" s="387"/>
      <c r="N16" s="387"/>
      <c r="O16" s="387"/>
      <c r="P16" s="387"/>
    </row>
    <row r="17" spans="1:16" ht="15" customHeight="1" x14ac:dyDescent="0.35">
      <c r="A17" s="314"/>
      <c r="B17" s="315" t="str">
        <f>Personal!E40</f>
        <v/>
      </c>
      <c r="C17" s="315"/>
      <c r="D17" s="315"/>
      <c r="E17" s="315" t="str">
        <f>Personal!$G$50</f>
        <v>Projektjahr 3</v>
      </c>
      <c r="F17" s="315">
        <f>Personal!H40</f>
        <v>0</v>
      </c>
      <c r="G17" s="315">
        <f>Personal!$L$40</f>
        <v>0</v>
      </c>
      <c r="H17" s="316">
        <f t="shared" si="0"/>
        <v>0</v>
      </c>
      <c r="I17" s="389"/>
      <c r="J17" s="387"/>
      <c r="K17" s="387"/>
      <c r="L17" s="387"/>
      <c r="M17" s="387"/>
      <c r="N17" s="387"/>
      <c r="O17" s="387"/>
      <c r="P17" s="387"/>
    </row>
    <row r="18" spans="1:16" ht="15" customHeight="1" x14ac:dyDescent="0.35">
      <c r="A18" s="314"/>
      <c r="B18" s="315"/>
      <c r="C18" s="315"/>
      <c r="D18" s="315"/>
      <c r="E18" s="315"/>
      <c r="F18" s="315"/>
      <c r="G18" s="315"/>
      <c r="H18" s="316"/>
      <c r="I18" s="389"/>
      <c r="J18" s="387"/>
      <c r="K18" s="387"/>
      <c r="L18" s="387"/>
      <c r="M18" s="387"/>
      <c r="N18" s="387"/>
      <c r="O18" s="387"/>
      <c r="P18" s="387"/>
    </row>
    <row r="19" spans="1:16" x14ac:dyDescent="0.35">
      <c r="A19" s="288"/>
      <c r="G19" t="s">
        <v>509</v>
      </c>
      <c r="H19" s="289" t="s">
        <v>514</v>
      </c>
      <c r="I19" s="388"/>
      <c r="J19" s="388"/>
      <c r="K19" s="388"/>
      <c r="L19" s="388"/>
      <c r="M19" s="388"/>
      <c r="N19" s="388"/>
      <c r="O19" s="388"/>
      <c r="P19" s="388"/>
    </row>
    <row r="20" spans="1:16" x14ac:dyDescent="0.35">
      <c r="A20" s="280" t="s">
        <v>359</v>
      </c>
      <c r="G20">
        <f>Personalausgaben!S4</f>
        <v>0</v>
      </c>
      <c r="H20" s="396">
        <f>Personalausgaben!G8</f>
        <v>0</v>
      </c>
    </row>
    <row r="21" spans="1:16" ht="15" thickBot="1" x14ac:dyDescent="0.4">
      <c r="A21" s="274" t="s">
        <v>360</v>
      </c>
      <c r="B21" s="291"/>
      <c r="C21" s="291"/>
      <c r="D21" s="291"/>
      <c r="E21" s="291"/>
      <c r="F21" s="291"/>
      <c r="G21" s="291">
        <f>Personalausgaben!S6</f>
        <v>0</v>
      </c>
      <c r="H21" s="292">
        <f>Personalausgaben!H8</f>
        <v>0</v>
      </c>
    </row>
    <row r="22" spans="1:16" ht="15" thickBot="1" x14ac:dyDescent="0.4"/>
    <row r="23" spans="1:16" x14ac:dyDescent="0.35">
      <c r="A23" s="311" t="s">
        <v>361</v>
      </c>
      <c r="B23" s="272"/>
      <c r="C23" s="272"/>
      <c r="D23" s="272"/>
      <c r="E23" s="272"/>
      <c r="F23" s="272"/>
      <c r="G23" s="272"/>
      <c r="H23" s="273"/>
      <c r="I23">
        <f>SUM(H24:H35)</f>
        <v>0</v>
      </c>
    </row>
    <row r="24" spans="1:16" x14ac:dyDescent="0.35">
      <c r="A24" s="288" t="s">
        <v>102</v>
      </c>
      <c r="B24">
        <f>Akteursbeteiligung!C20</f>
        <v>0</v>
      </c>
      <c r="F24">
        <f>Akteursbeteiligung!J20</f>
        <v>0</v>
      </c>
      <c r="G24">
        <f>Akteursbeteiligung!K20</f>
        <v>0</v>
      </c>
      <c r="H24" s="289">
        <f>Akteursbeteiligung!L20</f>
        <v>0</v>
      </c>
    </row>
    <row r="25" spans="1:16" x14ac:dyDescent="0.35">
      <c r="A25" s="288"/>
      <c r="B25">
        <f>Akteursbeteiligung!C21</f>
        <v>0</v>
      </c>
      <c r="F25">
        <f>Akteursbeteiligung!J21</f>
        <v>0</v>
      </c>
      <c r="G25">
        <f>Akteursbeteiligung!K21</f>
        <v>0</v>
      </c>
      <c r="H25" s="289">
        <f>Akteursbeteiligung!L21</f>
        <v>0</v>
      </c>
    </row>
    <row r="26" spans="1:16" x14ac:dyDescent="0.35">
      <c r="A26" s="288"/>
      <c r="B26">
        <f>Akteursbeteiligung!C22</f>
        <v>0</v>
      </c>
      <c r="F26">
        <f>Akteursbeteiligung!J22</f>
        <v>0</v>
      </c>
      <c r="G26">
        <f>Akteursbeteiligung!K22</f>
        <v>0</v>
      </c>
      <c r="H26" s="289">
        <f>Akteursbeteiligung!L22</f>
        <v>0</v>
      </c>
    </row>
    <row r="27" spans="1:16" x14ac:dyDescent="0.35">
      <c r="A27" s="288"/>
      <c r="B27">
        <f>Akteursbeteiligung!C23</f>
        <v>0</v>
      </c>
      <c r="F27">
        <f>Akteursbeteiligung!J23</f>
        <v>0</v>
      </c>
      <c r="G27">
        <f>Akteursbeteiligung!K23</f>
        <v>0</v>
      </c>
      <c r="H27" s="289">
        <f>Akteursbeteiligung!L23</f>
        <v>0</v>
      </c>
    </row>
    <row r="28" spans="1:16" x14ac:dyDescent="0.35">
      <c r="A28" s="288"/>
      <c r="B28">
        <f>Akteursbeteiligung!C24</f>
        <v>0</v>
      </c>
      <c r="F28">
        <f>Akteursbeteiligung!J24</f>
        <v>0</v>
      </c>
      <c r="G28">
        <f>Akteursbeteiligung!K24</f>
        <v>0</v>
      </c>
      <c r="H28" s="289">
        <f>Akteursbeteiligung!L24</f>
        <v>0</v>
      </c>
    </row>
    <row r="29" spans="1:16" x14ac:dyDescent="0.35">
      <c r="A29" s="288"/>
      <c r="H29" s="289"/>
    </row>
    <row r="30" spans="1:16" x14ac:dyDescent="0.35">
      <c r="A30" s="314" t="s">
        <v>362</v>
      </c>
      <c r="B30" s="315">
        <f>Begl_Öffentlichkeitsarbeit!C14</f>
        <v>0</v>
      </c>
      <c r="C30" s="315"/>
      <c r="D30" s="315"/>
      <c r="E30" s="315"/>
      <c r="F30" s="319">
        <f>Begl_Öffentlichkeitsarbeit!J14</f>
        <v>0</v>
      </c>
      <c r="G30" s="315">
        <f>Begl_Öffentlichkeitsarbeit!K14</f>
        <v>0</v>
      </c>
      <c r="H30" s="316">
        <f>Begl_Öffentlichkeitsarbeit!L14</f>
        <v>0</v>
      </c>
    </row>
    <row r="31" spans="1:16" x14ac:dyDescent="0.35">
      <c r="A31" s="314"/>
      <c r="B31" s="315">
        <f>Begl_Öffentlichkeitsarbeit!C15</f>
        <v>0</v>
      </c>
      <c r="C31" s="315"/>
      <c r="D31" s="315"/>
      <c r="E31" s="315"/>
      <c r="F31" s="319">
        <f>Begl_Öffentlichkeitsarbeit!J15</f>
        <v>0</v>
      </c>
      <c r="G31" s="315">
        <f>Begl_Öffentlichkeitsarbeit!K15</f>
        <v>0</v>
      </c>
      <c r="H31" s="316">
        <f>Begl_Öffentlichkeitsarbeit!L15</f>
        <v>0</v>
      </c>
    </row>
    <row r="32" spans="1:16" x14ac:dyDescent="0.35">
      <c r="A32" s="314"/>
      <c r="B32" s="315">
        <f>Begl_Öffentlichkeitsarbeit!C16</f>
        <v>0</v>
      </c>
      <c r="C32" s="315"/>
      <c r="D32" s="315"/>
      <c r="E32" s="315"/>
      <c r="F32" s="319">
        <f>Begl_Öffentlichkeitsarbeit!J16</f>
        <v>0</v>
      </c>
      <c r="G32" s="315">
        <f>Begl_Öffentlichkeitsarbeit!K16</f>
        <v>0</v>
      </c>
      <c r="H32" s="316">
        <f>Begl_Öffentlichkeitsarbeit!L16</f>
        <v>0</v>
      </c>
    </row>
    <row r="33" spans="1:9" x14ac:dyDescent="0.35">
      <c r="A33" s="314"/>
      <c r="B33" s="315">
        <f>Begl_Öffentlichkeitsarbeit!C17</f>
        <v>0</v>
      </c>
      <c r="C33" s="315"/>
      <c r="D33" s="315"/>
      <c r="E33" s="315"/>
      <c r="F33" s="319">
        <f>Begl_Öffentlichkeitsarbeit!J17</f>
        <v>0</v>
      </c>
      <c r="G33" s="315">
        <f>Begl_Öffentlichkeitsarbeit!K17</f>
        <v>0</v>
      </c>
      <c r="H33" s="316">
        <f>Begl_Öffentlichkeitsarbeit!L17</f>
        <v>0</v>
      </c>
    </row>
    <row r="34" spans="1:9" x14ac:dyDescent="0.35">
      <c r="A34" s="314"/>
      <c r="B34" s="315">
        <f>Begl_Öffentlichkeitsarbeit!C18</f>
        <v>0</v>
      </c>
      <c r="C34" s="315"/>
      <c r="D34" s="315"/>
      <c r="E34" s="315"/>
      <c r="F34" s="319">
        <f>Begl_Öffentlichkeitsarbeit!J18</f>
        <v>0</v>
      </c>
      <c r="G34" s="315">
        <f>Begl_Öffentlichkeitsarbeit!K18</f>
        <v>0</v>
      </c>
      <c r="H34" s="316">
        <f>Begl_Öffentlichkeitsarbeit!L18</f>
        <v>0</v>
      </c>
    </row>
    <row r="35" spans="1:9" ht="15" thickBot="1" x14ac:dyDescent="0.4">
      <c r="A35" s="320"/>
      <c r="B35" s="321">
        <f>Begl_Öffentlichkeitsarbeit!C19</f>
        <v>0</v>
      </c>
      <c r="C35" s="321"/>
      <c r="D35" s="321"/>
      <c r="E35" s="321"/>
      <c r="F35" s="395">
        <f>Begl_Öffentlichkeitsarbeit!J19</f>
        <v>0</v>
      </c>
      <c r="G35" s="321">
        <f>Begl_Öffentlichkeitsarbeit!K19</f>
        <v>0</v>
      </c>
      <c r="H35" s="394">
        <f>Begl_Öffentlichkeitsarbeit!L19</f>
        <v>0</v>
      </c>
    </row>
    <row r="36" spans="1:9" ht="15" thickBot="1" x14ac:dyDescent="0.4"/>
    <row r="37" spans="1:9" x14ac:dyDescent="0.35">
      <c r="A37" s="311" t="s">
        <v>363</v>
      </c>
      <c r="B37" s="272"/>
      <c r="C37" s="272"/>
      <c r="D37" s="272"/>
      <c r="E37" s="272"/>
      <c r="F37" s="272"/>
      <c r="G37" s="272"/>
      <c r="H37" s="273"/>
      <c r="I37" t="e">
        <f>SUM(H38:H64)</f>
        <v>#REF!</v>
      </c>
    </row>
    <row r="38" spans="1:9" x14ac:dyDescent="0.35">
      <c r="A38" s="288" t="s">
        <v>102</v>
      </c>
      <c r="B38">
        <f>Akteursbeteiligung!C31</f>
        <v>0</v>
      </c>
      <c r="F38">
        <f>Akteursbeteiligung!J31</f>
        <v>0</v>
      </c>
      <c r="G38">
        <f>Akteursbeteiligung!K31</f>
        <v>0</v>
      </c>
      <c r="H38" s="289">
        <f>Akteursbeteiligung!L31</f>
        <v>0</v>
      </c>
    </row>
    <row r="39" spans="1:9" x14ac:dyDescent="0.35">
      <c r="A39" s="288"/>
      <c r="B39">
        <f>Akteursbeteiligung!C32</f>
        <v>0</v>
      </c>
      <c r="F39">
        <f>Akteursbeteiligung!J32</f>
        <v>0</v>
      </c>
      <c r="G39">
        <f>Akteursbeteiligung!K32</f>
        <v>0</v>
      </c>
      <c r="H39" s="289">
        <f>Akteursbeteiligung!L32</f>
        <v>0</v>
      </c>
    </row>
    <row r="40" spans="1:9" x14ac:dyDescent="0.35">
      <c r="A40" s="288"/>
      <c r="B40">
        <f>Akteursbeteiligung!C33</f>
        <v>0</v>
      </c>
      <c r="F40">
        <f>Akteursbeteiligung!J33</f>
        <v>0</v>
      </c>
      <c r="G40">
        <f>Akteursbeteiligung!K33</f>
        <v>0</v>
      </c>
      <c r="H40" s="289">
        <f>Akteursbeteiligung!L33</f>
        <v>0</v>
      </c>
    </row>
    <row r="41" spans="1:9" x14ac:dyDescent="0.35">
      <c r="A41" s="288"/>
      <c r="B41">
        <f>Akteursbeteiligung!C34</f>
        <v>0</v>
      </c>
      <c r="F41">
        <f>Akteursbeteiligung!J34</f>
        <v>0</v>
      </c>
      <c r="G41">
        <f>Akteursbeteiligung!K34</f>
        <v>0</v>
      </c>
      <c r="H41" s="289">
        <f>Akteursbeteiligung!L34</f>
        <v>0</v>
      </c>
    </row>
    <row r="42" spans="1:9" x14ac:dyDescent="0.35">
      <c r="A42" s="288"/>
      <c r="B42">
        <f>Akteursbeteiligung!C35</f>
        <v>0</v>
      </c>
      <c r="F42">
        <f>Akteursbeteiligung!J35</f>
        <v>0</v>
      </c>
      <c r="G42">
        <f>Akteursbeteiligung!K35</f>
        <v>0</v>
      </c>
      <c r="H42" s="289">
        <f>Akteursbeteiligung!L35</f>
        <v>0</v>
      </c>
    </row>
    <row r="43" spans="1:9" x14ac:dyDescent="0.35">
      <c r="A43" s="288"/>
      <c r="B43">
        <f>Akteursbeteiligung!C36</f>
        <v>0</v>
      </c>
      <c r="F43">
        <f>Akteursbeteiligung!J36</f>
        <v>0</v>
      </c>
      <c r="G43">
        <f>Akteursbeteiligung!K36</f>
        <v>0</v>
      </c>
      <c r="H43" s="289">
        <f>Akteursbeteiligung!L36</f>
        <v>0</v>
      </c>
    </row>
    <row r="44" spans="1:9" x14ac:dyDescent="0.35">
      <c r="A44" s="288"/>
      <c r="B44">
        <f>Akteursbeteiligung!C37</f>
        <v>0</v>
      </c>
      <c r="F44">
        <f>Akteursbeteiligung!J37</f>
        <v>0</v>
      </c>
      <c r="G44">
        <f>Akteursbeteiligung!K37</f>
        <v>0</v>
      </c>
      <c r="H44" s="289">
        <f>Akteursbeteiligung!L37</f>
        <v>0</v>
      </c>
    </row>
    <row r="45" spans="1:9" x14ac:dyDescent="0.35">
      <c r="A45" s="288"/>
      <c r="H45" s="289"/>
    </row>
    <row r="46" spans="1:9" x14ac:dyDescent="0.35">
      <c r="A46" s="314" t="s">
        <v>104</v>
      </c>
      <c r="B46" s="315" t="str">
        <f>Konzeptfertigstellung!C11</f>
        <v>Bsp.: Layout und Druck des Konzeptes</v>
      </c>
      <c r="C46" s="315"/>
      <c r="D46" s="315"/>
      <c r="E46" s="315"/>
      <c r="F46" s="322"/>
      <c r="G46" s="322"/>
      <c r="H46" s="316">
        <f>Konzeptfertigstellung!L11</f>
        <v>0</v>
      </c>
    </row>
    <row r="47" spans="1:9" x14ac:dyDescent="0.35">
      <c r="A47" s="314"/>
      <c r="B47" s="315" t="str">
        <f>Konzeptfertigstellung!C12</f>
        <v>Bsp.: Bereitstellung eines barrierefreien Zugangs zum Konzept in elektronischer Form</v>
      </c>
      <c r="C47" s="315"/>
      <c r="D47" s="315"/>
      <c r="E47" s="315"/>
      <c r="F47" s="322"/>
      <c r="G47" s="322"/>
      <c r="H47" s="316">
        <f>Konzeptfertigstellung!L12</f>
        <v>0</v>
      </c>
    </row>
    <row r="48" spans="1:9" x14ac:dyDescent="0.35">
      <c r="A48" s="314"/>
      <c r="B48" s="315" t="str">
        <f>Konzeptfertigstellung!C13</f>
        <v>Bsp.: Aufgearbeitete Kurzfassung des Konzeptes zum leichten Lesen</v>
      </c>
      <c r="C48" s="315"/>
      <c r="D48" s="315"/>
      <c r="E48" s="315"/>
      <c r="F48" s="322"/>
      <c r="G48" s="322"/>
      <c r="H48" s="316">
        <f>Konzeptfertigstellung!L13</f>
        <v>0</v>
      </c>
    </row>
    <row r="49" spans="1:8" x14ac:dyDescent="0.35">
      <c r="A49" s="288"/>
      <c r="H49" s="289"/>
    </row>
    <row r="50" spans="1:8" x14ac:dyDescent="0.35">
      <c r="A50" s="288" t="s">
        <v>364</v>
      </c>
      <c r="B50">
        <f>Begl_Öffentlichkeitsarbeit!C25</f>
        <v>0</v>
      </c>
      <c r="F50" s="61">
        <f>Begl_Öffentlichkeitsarbeit!J25</f>
        <v>0</v>
      </c>
      <c r="G50" s="61">
        <f>Begl_Öffentlichkeitsarbeit!K25</f>
        <v>0</v>
      </c>
      <c r="H50" s="323">
        <f>Begl_Öffentlichkeitsarbeit!L25</f>
        <v>0</v>
      </c>
    </row>
    <row r="51" spans="1:8" x14ac:dyDescent="0.35">
      <c r="A51" s="288"/>
      <c r="B51">
        <f>Begl_Öffentlichkeitsarbeit!C26</f>
        <v>0</v>
      </c>
      <c r="F51" s="61">
        <f>Begl_Öffentlichkeitsarbeit!J26</f>
        <v>0</v>
      </c>
      <c r="G51" s="61">
        <f>Begl_Öffentlichkeitsarbeit!K26</f>
        <v>0</v>
      </c>
      <c r="H51" s="323">
        <f>Begl_Öffentlichkeitsarbeit!L26</f>
        <v>0</v>
      </c>
    </row>
    <row r="52" spans="1:8" x14ac:dyDescent="0.35">
      <c r="A52" s="288"/>
      <c r="B52">
        <f>Begl_Öffentlichkeitsarbeit!C27</f>
        <v>0</v>
      </c>
      <c r="F52" s="61">
        <f>Begl_Öffentlichkeitsarbeit!J27</f>
        <v>0</v>
      </c>
      <c r="G52" s="61">
        <f>Begl_Öffentlichkeitsarbeit!K27</f>
        <v>0</v>
      </c>
      <c r="H52" s="323">
        <f>Begl_Öffentlichkeitsarbeit!L27</f>
        <v>0</v>
      </c>
    </row>
    <row r="53" spans="1:8" x14ac:dyDescent="0.35">
      <c r="A53" s="288"/>
      <c r="B53">
        <f>Begl_Öffentlichkeitsarbeit!C28</f>
        <v>0</v>
      </c>
      <c r="F53" s="61">
        <f>Begl_Öffentlichkeitsarbeit!J28</f>
        <v>0</v>
      </c>
      <c r="G53" s="61">
        <f>Begl_Öffentlichkeitsarbeit!K28</f>
        <v>0</v>
      </c>
      <c r="H53" s="323">
        <f>Begl_Öffentlichkeitsarbeit!L28</f>
        <v>0</v>
      </c>
    </row>
    <row r="54" spans="1:8" x14ac:dyDescent="0.35">
      <c r="A54" s="288"/>
      <c r="B54">
        <f>Begl_Öffentlichkeitsarbeit!C29</f>
        <v>0</v>
      </c>
      <c r="F54" s="61">
        <f>Begl_Öffentlichkeitsarbeit!J29</f>
        <v>0</v>
      </c>
      <c r="G54" s="61">
        <f>Begl_Öffentlichkeitsarbeit!K29</f>
        <v>0</v>
      </c>
      <c r="H54" s="323">
        <f>Begl_Öffentlichkeitsarbeit!L29</f>
        <v>0</v>
      </c>
    </row>
    <row r="55" spans="1:8" x14ac:dyDescent="0.35">
      <c r="A55" s="288"/>
      <c r="B55">
        <f>Begl_Öffentlichkeitsarbeit!C30</f>
        <v>0</v>
      </c>
      <c r="F55" s="61">
        <f>Begl_Öffentlichkeitsarbeit!J30</f>
        <v>0</v>
      </c>
      <c r="G55" s="61">
        <f>Begl_Öffentlichkeitsarbeit!K30</f>
        <v>0</v>
      </c>
      <c r="H55" s="323">
        <f>Begl_Öffentlichkeitsarbeit!L30</f>
        <v>0</v>
      </c>
    </row>
    <row r="56" spans="1:8" x14ac:dyDescent="0.35">
      <c r="A56" s="288"/>
      <c r="B56">
        <f>Begl_Öffentlichkeitsarbeit!C31</f>
        <v>0</v>
      </c>
      <c r="F56" s="61">
        <f>Begl_Öffentlichkeitsarbeit!J31</f>
        <v>0</v>
      </c>
      <c r="G56" s="61">
        <f>Begl_Öffentlichkeitsarbeit!K31</f>
        <v>0</v>
      </c>
      <c r="H56" s="323">
        <f>Begl_Öffentlichkeitsarbeit!L31</f>
        <v>0</v>
      </c>
    </row>
    <row r="57" spans="1:8" x14ac:dyDescent="0.35">
      <c r="A57" s="288"/>
      <c r="B57">
        <f>Begl_Öffentlichkeitsarbeit!C32</f>
        <v>0</v>
      </c>
      <c r="F57" s="61">
        <f>Begl_Öffentlichkeitsarbeit!J32</f>
        <v>0</v>
      </c>
      <c r="G57" s="61">
        <f>Begl_Öffentlichkeitsarbeit!K32</f>
        <v>0</v>
      </c>
      <c r="H57" s="323">
        <f>Begl_Öffentlichkeitsarbeit!L32</f>
        <v>0</v>
      </c>
    </row>
    <row r="58" spans="1:8" x14ac:dyDescent="0.35">
      <c r="A58" s="288"/>
      <c r="B58">
        <f>Begl_Öffentlichkeitsarbeit!C33</f>
        <v>0</v>
      </c>
      <c r="F58" s="61">
        <f>Begl_Öffentlichkeitsarbeit!J33</f>
        <v>0</v>
      </c>
      <c r="G58" s="61">
        <f>Begl_Öffentlichkeitsarbeit!K33</f>
        <v>0</v>
      </c>
      <c r="H58" s="323">
        <f>Begl_Öffentlichkeitsarbeit!L33</f>
        <v>0</v>
      </c>
    </row>
    <row r="59" spans="1:8" x14ac:dyDescent="0.35">
      <c r="A59" s="288"/>
      <c r="B59">
        <f>Begl_Öffentlichkeitsarbeit!C34</f>
        <v>0</v>
      </c>
      <c r="F59" s="61">
        <f>Begl_Öffentlichkeitsarbeit!J34</f>
        <v>0</v>
      </c>
      <c r="G59" s="61">
        <f>Begl_Öffentlichkeitsarbeit!K34</f>
        <v>0</v>
      </c>
      <c r="H59" s="323">
        <f>Begl_Öffentlichkeitsarbeit!L34</f>
        <v>0</v>
      </c>
    </row>
    <row r="60" spans="1:8" x14ac:dyDescent="0.35">
      <c r="A60" s="288"/>
      <c r="H60" s="289"/>
    </row>
    <row r="61" spans="1:8" x14ac:dyDescent="0.35">
      <c r="A61" s="314" t="s">
        <v>156</v>
      </c>
      <c r="B61" s="315"/>
      <c r="C61" s="315"/>
      <c r="D61" s="315"/>
      <c r="E61" s="315"/>
      <c r="F61" s="315">
        <f>prof_Prozessunterstützung!F14</f>
        <v>0</v>
      </c>
      <c r="G61" s="315">
        <f>prof_Prozessunterstützung!G14</f>
        <v>0</v>
      </c>
      <c r="H61" s="316">
        <f>prof_Prozessunterstützung!H14</f>
        <v>0</v>
      </c>
    </row>
    <row r="62" spans="1:8" x14ac:dyDescent="0.35">
      <c r="A62" s="288"/>
      <c r="H62" s="289"/>
    </row>
    <row r="63" spans="1:8" x14ac:dyDescent="0.35">
      <c r="A63" s="288" t="s">
        <v>113</v>
      </c>
      <c r="B63" s="324" t="e">
        <f>Ausgabenkalkulation!#REF!</f>
        <v>#REF!</v>
      </c>
      <c r="F63" s="324" t="e">
        <f>Ausgabenkalkulation!#REF!</f>
        <v>#REF!</v>
      </c>
      <c r="G63" t="e">
        <f>Ausgabenkalkulation!#REF!</f>
        <v>#REF!</v>
      </c>
      <c r="H63" s="289" t="e">
        <f>Ausgabenkalkulation!#REF!</f>
        <v>#REF!</v>
      </c>
    </row>
    <row r="64" spans="1:8" ht="15" thickBot="1" x14ac:dyDescent="0.4">
      <c r="A64" s="290"/>
      <c r="B64" s="325" t="e">
        <f>Ausgabenkalkulation!#REF!</f>
        <v>#REF!</v>
      </c>
      <c r="C64" s="291"/>
      <c r="D64" s="291"/>
      <c r="E64" s="291"/>
      <c r="F64" s="325" t="e">
        <f>Ausgabenkalkulation!#REF!</f>
        <v>#REF!</v>
      </c>
      <c r="G64" s="291" t="e">
        <f>Ausgabenkalkulation!#REF!</f>
        <v>#REF!</v>
      </c>
      <c r="H64" s="292" t="e">
        <f>Ausgabenkalkulation!#REF!</f>
        <v>#REF!</v>
      </c>
    </row>
    <row r="65" spans="1:9" ht="15" thickBot="1" x14ac:dyDescent="0.4">
      <c r="B65" s="324"/>
    </row>
    <row r="66" spans="1:9" x14ac:dyDescent="0.35">
      <c r="A66" s="311" t="s">
        <v>365</v>
      </c>
      <c r="B66" s="272"/>
      <c r="C66" s="272"/>
      <c r="D66" s="272"/>
      <c r="E66" s="272"/>
      <c r="F66" s="272"/>
      <c r="G66" s="272"/>
      <c r="H66" s="273"/>
      <c r="I66">
        <f>SUM(H67:H72)</f>
        <v>0</v>
      </c>
    </row>
    <row r="67" spans="1:9" x14ac:dyDescent="0.35">
      <c r="A67" s="314"/>
      <c r="B67" s="315" t="s">
        <v>366</v>
      </c>
      <c r="C67" s="315"/>
      <c r="D67" s="315"/>
      <c r="E67" s="315"/>
      <c r="F67" s="315"/>
      <c r="G67" s="315"/>
      <c r="H67" s="316">
        <f>'weitere Sachausgaben'!N12</f>
        <v>0</v>
      </c>
    </row>
    <row r="68" spans="1:9" x14ac:dyDescent="0.35">
      <c r="A68" s="314"/>
      <c r="B68" s="315" t="s">
        <v>367</v>
      </c>
      <c r="C68" s="315"/>
      <c r="D68" s="315"/>
      <c r="E68" s="315"/>
      <c r="F68" s="315"/>
      <c r="G68" s="315"/>
      <c r="H68" s="316">
        <f>'weitere Sachausgaben'!N13</f>
        <v>0</v>
      </c>
    </row>
    <row r="69" spans="1:9" x14ac:dyDescent="0.35">
      <c r="A69" s="314"/>
      <c r="B69" s="315" t="s">
        <v>368</v>
      </c>
      <c r="C69" s="315"/>
      <c r="D69" s="315"/>
      <c r="E69" s="315"/>
      <c r="F69" s="315"/>
      <c r="G69" s="315"/>
      <c r="H69" s="316">
        <f>'weitere Sachausgaben'!N14</f>
        <v>0</v>
      </c>
    </row>
    <row r="70" spans="1:9" x14ac:dyDescent="0.35">
      <c r="A70" s="314"/>
      <c r="B70" s="315" t="s">
        <v>67</v>
      </c>
      <c r="C70" s="315"/>
      <c r="D70" s="315"/>
      <c r="E70" s="315"/>
      <c r="F70" s="315"/>
      <c r="G70" s="315"/>
      <c r="H70" s="316">
        <f>'weitere Sachausgaben'!N15</f>
        <v>0</v>
      </c>
    </row>
    <row r="71" spans="1:9" x14ac:dyDescent="0.35">
      <c r="A71" s="314"/>
      <c r="B71" s="315" t="s">
        <v>78</v>
      </c>
      <c r="C71" s="315">
        <f>'weitere Sachausgaben'!E16</f>
        <v>0</v>
      </c>
      <c r="D71" s="315"/>
      <c r="E71" s="315"/>
      <c r="F71" s="315"/>
      <c r="G71" s="315"/>
      <c r="H71" s="316">
        <f>'weitere Sachausgaben'!N16</f>
        <v>0</v>
      </c>
    </row>
    <row r="72" spans="1:9" ht="15" thickBot="1" x14ac:dyDescent="0.4">
      <c r="A72" s="320"/>
      <c r="B72" s="321" t="s">
        <v>78</v>
      </c>
      <c r="C72" s="321">
        <f>'weitere Sachausgaben'!E17</f>
        <v>0</v>
      </c>
      <c r="D72" s="321"/>
      <c r="E72" s="321"/>
      <c r="F72" s="321"/>
      <c r="G72" s="321"/>
      <c r="H72" s="394">
        <f>'weitere Sachausgaben'!N17</f>
        <v>0</v>
      </c>
    </row>
    <row r="73" spans="1:9" ht="15" thickBot="1" x14ac:dyDescent="0.4"/>
    <row r="74" spans="1:9" x14ac:dyDescent="0.35">
      <c r="A74" s="311" t="s">
        <v>369</v>
      </c>
      <c r="B74" s="272">
        <f>'weitere Sachausgaben'!C24</f>
        <v>0</v>
      </c>
      <c r="C74" s="272"/>
      <c r="D74" s="272"/>
      <c r="E74" s="272"/>
      <c r="F74" s="272"/>
      <c r="G74" s="272"/>
      <c r="H74" s="273">
        <f>'weitere Sachausgaben'!N24</f>
        <v>0</v>
      </c>
      <c r="I74">
        <f>SUM(H74:H80)</f>
        <v>0</v>
      </c>
    </row>
    <row r="75" spans="1:9" x14ac:dyDescent="0.35">
      <c r="A75" s="288"/>
      <c r="B75">
        <f>'weitere Sachausgaben'!C25</f>
        <v>0</v>
      </c>
      <c r="H75" s="289">
        <f>'weitere Sachausgaben'!N25</f>
        <v>0</v>
      </c>
    </row>
    <row r="76" spans="1:9" x14ac:dyDescent="0.35">
      <c r="A76" s="288"/>
      <c r="B76">
        <f>'weitere Sachausgaben'!C26</f>
        <v>0</v>
      </c>
      <c r="H76" s="289">
        <f>'weitere Sachausgaben'!N26</f>
        <v>0</v>
      </c>
    </row>
    <row r="77" spans="1:9" x14ac:dyDescent="0.35">
      <c r="A77" s="288"/>
      <c r="B77">
        <f>'weitere Sachausgaben'!C27</f>
        <v>0</v>
      </c>
      <c r="H77" s="289">
        <f>'weitere Sachausgaben'!N27</f>
        <v>0</v>
      </c>
    </row>
    <row r="78" spans="1:9" x14ac:dyDescent="0.35">
      <c r="A78" s="288"/>
      <c r="B78">
        <f>'weitere Sachausgaben'!C28</f>
        <v>0</v>
      </c>
      <c r="H78" s="289">
        <f>'weitere Sachausgaben'!N28</f>
        <v>0</v>
      </c>
    </row>
    <row r="79" spans="1:9" x14ac:dyDescent="0.35">
      <c r="A79" s="288"/>
      <c r="B79">
        <f>'weitere Sachausgaben'!C29</f>
        <v>0</v>
      </c>
      <c r="H79" s="289">
        <f>'weitere Sachausgaben'!N29</f>
        <v>0</v>
      </c>
    </row>
    <row r="80" spans="1:9" ht="15" thickBot="1" x14ac:dyDescent="0.4">
      <c r="A80" s="290"/>
      <c r="B80" s="291">
        <f>'weitere Sachausgaben'!C30</f>
        <v>0</v>
      </c>
      <c r="C80" s="291"/>
      <c r="D80" s="291"/>
      <c r="E80" s="291"/>
      <c r="F80" s="291"/>
      <c r="G80" s="291"/>
      <c r="H80" s="292">
        <f>'weitere Sachausgaben'!N30</f>
        <v>0</v>
      </c>
    </row>
    <row r="81" spans="1:9" ht="15" thickBot="1" x14ac:dyDescent="0.4"/>
    <row r="82" spans="1:9" x14ac:dyDescent="0.35">
      <c r="A82" s="311" t="s">
        <v>370</v>
      </c>
      <c r="B82" s="272"/>
      <c r="C82" s="272"/>
      <c r="D82" s="272"/>
      <c r="E82" s="272"/>
      <c r="F82" s="272"/>
      <c r="G82" s="272"/>
      <c r="H82" s="273"/>
      <c r="I82">
        <f>SUM(H83:H84)</f>
        <v>0</v>
      </c>
    </row>
    <row r="83" spans="1:9" x14ac:dyDescent="0.35">
      <c r="A83" s="314"/>
      <c r="B83" s="315" t="s">
        <v>85</v>
      </c>
      <c r="C83" s="315"/>
      <c r="D83" s="315"/>
      <c r="E83" s="315"/>
      <c r="F83" s="315"/>
      <c r="G83" s="315"/>
      <c r="H83" s="316">
        <f>'weitere Sachausgaben'!N39</f>
        <v>0</v>
      </c>
    </row>
    <row r="84" spans="1:9" ht="15" thickBot="1" x14ac:dyDescent="0.4">
      <c r="A84" s="320"/>
      <c r="B84" s="321">
        <f>'weitere Sachausgaben'!C40</f>
        <v>0</v>
      </c>
      <c r="C84" s="321"/>
      <c r="D84" s="321"/>
      <c r="E84" s="321"/>
      <c r="F84" s="321"/>
      <c r="G84" s="321"/>
      <c r="H84" s="394">
        <f>'weitere Sachausgaben'!N40</f>
        <v>0</v>
      </c>
    </row>
    <row r="85" spans="1:9" ht="15" thickBot="1" x14ac:dyDescent="0.4"/>
    <row r="86" spans="1:9" x14ac:dyDescent="0.35">
      <c r="A86" s="311" t="s">
        <v>371</v>
      </c>
      <c r="B86" s="392"/>
      <c r="C86" s="392" t="s">
        <v>214</v>
      </c>
      <c r="D86" s="392" t="s">
        <v>372</v>
      </c>
      <c r="E86" s="392" t="s">
        <v>373</v>
      </c>
      <c r="F86" s="392" t="s">
        <v>374</v>
      </c>
      <c r="G86" s="392" t="s">
        <v>375</v>
      </c>
      <c r="H86" s="393" t="s">
        <v>6</v>
      </c>
      <c r="I86">
        <f>SUM(H87:H104)</f>
        <v>0</v>
      </c>
    </row>
    <row r="87" spans="1:9" x14ac:dyDescent="0.35">
      <c r="A87" s="288"/>
      <c r="B87" t="str">
        <f>'Dienstreisen und Qualifizierung'!C10</f>
        <v>bitte auswählen</v>
      </c>
      <c r="C87">
        <f>'Dienstreisen und Qualifizierung'!H10</f>
        <v>0</v>
      </c>
      <c r="D87" t="str">
        <f>'Dienstreisen und Qualifizierung'!G10</f>
        <v>bitte auswählen</v>
      </c>
      <c r="E87">
        <f>'Dienstreisen und Qualifizierung'!I10</f>
        <v>0</v>
      </c>
      <c r="F87">
        <f>'Dienstreisen und Qualifizierung'!J10</f>
        <v>0</v>
      </c>
      <c r="G87">
        <f>'Dienstreisen und Qualifizierung'!M10</f>
        <v>0</v>
      </c>
      <c r="H87" s="289">
        <f>'Dienstreisen und Qualifizierung'!O10</f>
        <v>0</v>
      </c>
    </row>
    <row r="88" spans="1:9" x14ac:dyDescent="0.35">
      <c r="A88" s="288"/>
      <c r="B88" t="str">
        <f>'Dienstreisen und Qualifizierung'!C11</f>
        <v>bitte auswählen</v>
      </c>
      <c r="C88">
        <f>'Dienstreisen und Qualifizierung'!H11</f>
        <v>0</v>
      </c>
      <c r="D88" t="str">
        <f>'Dienstreisen und Qualifizierung'!G11</f>
        <v>bitte auswählen</v>
      </c>
      <c r="E88">
        <f>'Dienstreisen und Qualifizierung'!I11</f>
        <v>0</v>
      </c>
      <c r="F88">
        <f>'Dienstreisen und Qualifizierung'!J11</f>
        <v>0</v>
      </c>
      <c r="G88">
        <f>'Dienstreisen und Qualifizierung'!M11</f>
        <v>0</v>
      </c>
      <c r="H88" s="289">
        <f>'Dienstreisen und Qualifizierung'!O11</f>
        <v>0</v>
      </c>
    </row>
    <row r="89" spans="1:9" x14ac:dyDescent="0.35">
      <c r="A89" s="288"/>
      <c r="B89" t="str">
        <f>'Dienstreisen und Qualifizierung'!C12</f>
        <v>bitte auswählen</v>
      </c>
      <c r="C89">
        <f>'Dienstreisen und Qualifizierung'!H12</f>
        <v>0</v>
      </c>
      <c r="D89" t="str">
        <f>'Dienstreisen und Qualifizierung'!G12</f>
        <v>bitte auswählen</v>
      </c>
      <c r="E89">
        <f>'Dienstreisen und Qualifizierung'!I12</f>
        <v>0</v>
      </c>
      <c r="F89">
        <f>'Dienstreisen und Qualifizierung'!J12</f>
        <v>0</v>
      </c>
      <c r="G89">
        <f>'Dienstreisen und Qualifizierung'!M12</f>
        <v>0</v>
      </c>
      <c r="H89" s="289">
        <f>'Dienstreisen und Qualifizierung'!O12</f>
        <v>0</v>
      </c>
    </row>
    <row r="90" spans="1:9" x14ac:dyDescent="0.35">
      <c r="A90" s="288"/>
      <c r="B90" t="str">
        <f>'Dienstreisen und Qualifizierung'!C13</f>
        <v>bitte auswählen</v>
      </c>
      <c r="C90">
        <f>'Dienstreisen und Qualifizierung'!H13</f>
        <v>0</v>
      </c>
      <c r="D90" t="str">
        <f>'Dienstreisen und Qualifizierung'!G13</f>
        <v>bitte auswählen</v>
      </c>
      <c r="E90">
        <f>'Dienstreisen und Qualifizierung'!I13</f>
        <v>0</v>
      </c>
      <c r="F90">
        <f>'Dienstreisen und Qualifizierung'!J13</f>
        <v>0</v>
      </c>
      <c r="G90">
        <f>'Dienstreisen und Qualifizierung'!M13</f>
        <v>0</v>
      </c>
      <c r="H90" s="289">
        <f>'Dienstreisen und Qualifizierung'!O13</f>
        <v>0</v>
      </c>
    </row>
    <row r="91" spans="1:9" x14ac:dyDescent="0.35">
      <c r="A91" s="288"/>
      <c r="B91" t="str">
        <f>'Dienstreisen und Qualifizierung'!C14</f>
        <v>bitte auswählen</v>
      </c>
      <c r="C91">
        <f>'Dienstreisen und Qualifizierung'!H14</f>
        <v>0</v>
      </c>
      <c r="D91" t="str">
        <f>'Dienstreisen und Qualifizierung'!G14</f>
        <v>bitte auswählen</v>
      </c>
      <c r="E91">
        <f>'Dienstreisen und Qualifizierung'!I14</f>
        <v>0</v>
      </c>
      <c r="F91">
        <f>'Dienstreisen und Qualifizierung'!J14</f>
        <v>0</v>
      </c>
      <c r="G91">
        <f>'Dienstreisen und Qualifizierung'!M14</f>
        <v>0</v>
      </c>
      <c r="H91" s="289">
        <f>'Dienstreisen und Qualifizierung'!O14</f>
        <v>0</v>
      </c>
    </row>
    <row r="92" spans="1:9" x14ac:dyDescent="0.35">
      <c r="A92" s="288"/>
      <c r="B92" t="str">
        <f>'Dienstreisen und Qualifizierung'!C15</f>
        <v>bitte auswählen</v>
      </c>
      <c r="C92">
        <f>'Dienstreisen und Qualifizierung'!H15</f>
        <v>0</v>
      </c>
      <c r="D92" t="str">
        <f>'Dienstreisen und Qualifizierung'!G15</f>
        <v>bitte auswählen</v>
      </c>
      <c r="E92">
        <f>'Dienstreisen und Qualifizierung'!I15</f>
        <v>0</v>
      </c>
      <c r="F92">
        <f>'Dienstreisen und Qualifizierung'!J15</f>
        <v>0</v>
      </c>
      <c r="G92">
        <f>'Dienstreisen und Qualifizierung'!M15</f>
        <v>0</v>
      </c>
      <c r="H92" s="289">
        <f>'Dienstreisen und Qualifizierung'!O15</f>
        <v>0</v>
      </c>
    </row>
    <row r="93" spans="1:9" x14ac:dyDescent="0.35">
      <c r="A93" s="288"/>
      <c r="B93" t="str">
        <f>'Dienstreisen und Qualifizierung'!C16</f>
        <v>bitte auswählen</v>
      </c>
      <c r="C93">
        <f>'Dienstreisen und Qualifizierung'!H16</f>
        <v>0</v>
      </c>
      <c r="D93" t="str">
        <f>'Dienstreisen und Qualifizierung'!G16</f>
        <v>bitte auswählen</v>
      </c>
      <c r="E93">
        <f>'Dienstreisen und Qualifizierung'!I16</f>
        <v>0</v>
      </c>
      <c r="F93">
        <f>'Dienstreisen und Qualifizierung'!J16</f>
        <v>0</v>
      </c>
      <c r="G93">
        <f>'Dienstreisen und Qualifizierung'!M16</f>
        <v>0</v>
      </c>
      <c r="H93" s="289">
        <f>'Dienstreisen und Qualifizierung'!O16</f>
        <v>0</v>
      </c>
    </row>
    <row r="94" spans="1:9" x14ac:dyDescent="0.35">
      <c r="A94" s="288"/>
      <c r="B94" t="str">
        <f>'Dienstreisen und Qualifizierung'!C17</f>
        <v>bitte auswählen</v>
      </c>
      <c r="C94">
        <f>'Dienstreisen und Qualifizierung'!H17</f>
        <v>0</v>
      </c>
      <c r="D94" t="str">
        <f>'Dienstreisen und Qualifizierung'!G17</f>
        <v>bitte auswählen</v>
      </c>
      <c r="E94">
        <f>'Dienstreisen und Qualifizierung'!I17</f>
        <v>0</v>
      </c>
      <c r="F94">
        <f>'Dienstreisen und Qualifizierung'!J17</f>
        <v>0</v>
      </c>
      <c r="G94">
        <f>'Dienstreisen und Qualifizierung'!M17</f>
        <v>0</v>
      </c>
      <c r="H94" s="289">
        <f>'Dienstreisen und Qualifizierung'!O17</f>
        <v>0</v>
      </c>
    </row>
    <row r="95" spans="1:9" x14ac:dyDescent="0.35">
      <c r="A95" s="288"/>
      <c r="B95" t="str">
        <f>'Dienstreisen und Qualifizierung'!C18</f>
        <v>bitte auswählen</v>
      </c>
      <c r="C95">
        <f>'Dienstreisen und Qualifizierung'!H18</f>
        <v>0</v>
      </c>
      <c r="D95" t="str">
        <f>'Dienstreisen und Qualifizierung'!G18</f>
        <v>bitte auswählen</v>
      </c>
      <c r="E95">
        <f>'Dienstreisen und Qualifizierung'!I18</f>
        <v>0</v>
      </c>
      <c r="F95">
        <f>'Dienstreisen und Qualifizierung'!J18</f>
        <v>0</v>
      </c>
      <c r="G95">
        <f>'Dienstreisen und Qualifizierung'!M18</f>
        <v>0</v>
      </c>
      <c r="H95" s="289">
        <f>'Dienstreisen und Qualifizierung'!O18</f>
        <v>0</v>
      </c>
    </row>
    <row r="96" spans="1:9" x14ac:dyDescent="0.35">
      <c r="A96" s="288"/>
      <c r="B96" t="str">
        <f>'Dienstreisen und Qualifizierung'!C19</f>
        <v>bitte auswählen</v>
      </c>
      <c r="C96">
        <f>'Dienstreisen und Qualifizierung'!H19</f>
        <v>0</v>
      </c>
      <c r="D96" t="str">
        <f>'Dienstreisen und Qualifizierung'!G19</f>
        <v>bitte auswählen</v>
      </c>
      <c r="E96">
        <f>'Dienstreisen und Qualifizierung'!I19</f>
        <v>0</v>
      </c>
      <c r="F96">
        <f>'Dienstreisen und Qualifizierung'!J19</f>
        <v>0</v>
      </c>
      <c r="G96">
        <f>'Dienstreisen und Qualifizierung'!M19</f>
        <v>0</v>
      </c>
      <c r="H96" s="289">
        <f>'Dienstreisen und Qualifizierung'!O19</f>
        <v>0</v>
      </c>
    </row>
    <row r="97" spans="1:9" x14ac:dyDescent="0.35">
      <c r="A97" s="288"/>
      <c r="B97" t="str">
        <f>'Dienstreisen und Qualifizierung'!C20</f>
        <v>bitte auswählen</v>
      </c>
      <c r="C97">
        <f>'Dienstreisen und Qualifizierung'!H20</f>
        <v>0</v>
      </c>
      <c r="D97" t="str">
        <f>'Dienstreisen und Qualifizierung'!G20</f>
        <v>bitte auswählen</v>
      </c>
      <c r="E97">
        <f>'Dienstreisen und Qualifizierung'!I20</f>
        <v>0</v>
      </c>
      <c r="F97">
        <f>'Dienstreisen und Qualifizierung'!J20</f>
        <v>0</v>
      </c>
      <c r="G97">
        <f>'Dienstreisen und Qualifizierung'!M20</f>
        <v>0</v>
      </c>
      <c r="H97" s="289">
        <f>'Dienstreisen und Qualifizierung'!O20</f>
        <v>0</v>
      </c>
    </row>
    <row r="98" spans="1:9" x14ac:dyDescent="0.35">
      <c r="A98" s="288"/>
      <c r="B98" t="str">
        <f>'Dienstreisen und Qualifizierung'!C21</f>
        <v>bitte auswählen</v>
      </c>
      <c r="C98">
        <f>'Dienstreisen und Qualifizierung'!H21</f>
        <v>0</v>
      </c>
      <c r="D98" t="str">
        <f>'Dienstreisen und Qualifizierung'!G21</f>
        <v>bitte auswählen</v>
      </c>
      <c r="E98">
        <f>'Dienstreisen und Qualifizierung'!I21</f>
        <v>0</v>
      </c>
      <c r="F98">
        <f>'Dienstreisen und Qualifizierung'!J21</f>
        <v>0</v>
      </c>
      <c r="G98">
        <f>'Dienstreisen und Qualifizierung'!M21</f>
        <v>0</v>
      </c>
      <c r="H98" s="289">
        <f>'Dienstreisen und Qualifizierung'!O21</f>
        <v>0</v>
      </c>
    </row>
    <row r="99" spans="1:9" x14ac:dyDescent="0.35">
      <c r="A99" s="288"/>
      <c r="B99" t="str">
        <f>'Dienstreisen und Qualifizierung'!C22</f>
        <v>bitte auswählen</v>
      </c>
      <c r="C99">
        <f>'Dienstreisen und Qualifizierung'!H22</f>
        <v>0</v>
      </c>
      <c r="D99" t="str">
        <f>'Dienstreisen und Qualifizierung'!G22</f>
        <v>bitte auswählen</v>
      </c>
      <c r="E99">
        <f>'Dienstreisen und Qualifizierung'!I22</f>
        <v>0</v>
      </c>
      <c r="F99">
        <f>'Dienstreisen und Qualifizierung'!J22</f>
        <v>0</v>
      </c>
      <c r="G99">
        <f>'Dienstreisen und Qualifizierung'!M22</f>
        <v>0</v>
      </c>
      <c r="H99" s="289">
        <f>'Dienstreisen und Qualifizierung'!O22</f>
        <v>0</v>
      </c>
    </row>
    <row r="100" spans="1:9" x14ac:dyDescent="0.35">
      <c r="A100" s="288"/>
      <c r="B100" t="str">
        <f>'Dienstreisen und Qualifizierung'!C23</f>
        <v>bitte auswählen</v>
      </c>
      <c r="C100">
        <f>'Dienstreisen und Qualifizierung'!H23</f>
        <v>0</v>
      </c>
      <c r="D100" t="str">
        <f>'Dienstreisen und Qualifizierung'!G23</f>
        <v>bitte auswählen</v>
      </c>
      <c r="E100">
        <f>'Dienstreisen und Qualifizierung'!I23</f>
        <v>0</v>
      </c>
      <c r="F100">
        <f>'Dienstreisen und Qualifizierung'!J23</f>
        <v>0</v>
      </c>
      <c r="G100">
        <f>'Dienstreisen und Qualifizierung'!M23</f>
        <v>0</v>
      </c>
      <c r="H100" s="289">
        <f>'Dienstreisen und Qualifizierung'!O23</f>
        <v>0</v>
      </c>
    </row>
    <row r="101" spans="1:9" x14ac:dyDescent="0.35">
      <c r="A101" s="288"/>
      <c r="B101" t="str">
        <f>'Dienstreisen und Qualifizierung'!C24</f>
        <v>bitte auswählen</v>
      </c>
      <c r="C101">
        <f>'Dienstreisen und Qualifizierung'!H24</f>
        <v>0</v>
      </c>
      <c r="D101" t="str">
        <f>'Dienstreisen und Qualifizierung'!G24</f>
        <v>bitte auswählen</v>
      </c>
      <c r="E101">
        <f>'Dienstreisen und Qualifizierung'!I24</f>
        <v>0</v>
      </c>
      <c r="F101">
        <f>'Dienstreisen und Qualifizierung'!J24</f>
        <v>0</v>
      </c>
      <c r="G101">
        <f>'Dienstreisen und Qualifizierung'!M24</f>
        <v>0</v>
      </c>
      <c r="H101" s="289">
        <f>'Dienstreisen und Qualifizierung'!O24</f>
        <v>0</v>
      </c>
    </row>
    <row r="102" spans="1:9" x14ac:dyDescent="0.35">
      <c r="A102" s="288"/>
      <c r="B102" t="str">
        <f>'Dienstreisen und Qualifizierung'!C25</f>
        <v>bitte auswählen</v>
      </c>
      <c r="C102">
        <f>'Dienstreisen und Qualifizierung'!H25</f>
        <v>0</v>
      </c>
      <c r="D102" t="str">
        <f>'Dienstreisen und Qualifizierung'!G25</f>
        <v>bitte auswählen</v>
      </c>
      <c r="E102">
        <f>'Dienstreisen und Qualifizierung'!I25</f>
        <v>0</v>
      </c>
      <c r="F102">
        <f>'Dienstreisen und Qualifizierung'!J25</f>
        <v>0</v>
      </c>
      <c r="G102">
        <f>'Dienstreisen und Qualifizierung'!M25</f>
        <v>0</v>
      </c>
      <c r="H102" s="289">
        <f>'Dienstreisen und Qualifizierung'!O25</f>
        <v>0</v>
      </c>
    </row>
    <row r="103" spans="1:9" x14ac:dyDescent="0.35">
      <c r="A103" s="288"/>
      <c r="H103" s="289"/>
    </row>
    <row r="104" spans="1:9" ht="15" thickBot="1" x14ac:dyDescent="0.4">
      <c r="A104" s="290"/>
      <c r="B104" s="291" t="s">
        <v>512</v>
      </c>
      <c r="C104" s="291"/>
      <c r="D104" s="291"/>
      <c r="E104" s="291"/>
      <c r="F104" s="291"/>
      <c r="G104" s="291"/>
      <c r="H104" s="292">
        <f>'Dienstreisen und Qualifizierung'!O29</f>
        <v>0</v>
      </c>
    </row>
    <row r="105" spans="1:9" ht="15" thickBot="1" x14ac:dyDescent="0.4"/>
    <row r="106" spans="1:9" x14ac:dyDescent="0.35">
      <c r="A106" s="311" t="s">
        <v>376</v>
      </c>
      <c r="B106" s="272"/>
      <c r="C106" s="272"/>
      <c r="D106" s="272"/>
      <c r="E106" s="272"/>
      <c r="F106" s="272"/>
      <c r="G106" s="272"/>
      <c r="H106" s="273"/>
      <c r="I106">
        <f>SUM(H107:H110)</f>
        <v>0</v>
      </c>
    </row>
    <row r="107" spans="1:9" x14ac:dyDescent="0.35">
      <c r="A107" s="314" t="s">
        <v>102</v>
      </c>
      <c r="B107" s="315">
        <f>Akteursbeteiligung!C48</f>
        <v>0</v>
      </c>
      <c r="C107" s="315"/>
      <c r="D107" s="315"/>
      <c r="E107" s="315"/>
      <c r="F107" s="315">
        <f>Akteursbeteiligung!J48</f>
        <v>0</v>
      </c>
      <c r="G107" s="315">
        <f>Akteursbeteiligung!K48</f>
        <v>0</v>
      </c>
      <c r="H107" s="316">
        <f>Akteursbeteiligung!L48</f>
        <v>0</v>
      </c>
    </row>
    <row r="108" spans="1:9" x14ac:dyDescent="0.35">
      <c r="A108" s="288"/>
      <c r="H108" s="289"/>
    </row>
    <row r="109" spans="1:9" x14ac:dyDescent="0.35">
      <c r="A109" s="288" t="s">
        <v>362</v>
      </c>
      <c r="B109">
        <f>Begl_Öffentlichkeitsarbeit!C38</f>
        <v>0</v>
      </c>
      <c r="F109" s="61">
        <f>Begl_Öffentlichkeitsarbeit!J38</f>
        <v>0</v>
      </c>
      <c r="G109" s="61">
        <f>Begl_Öffentlichkeitsarbeit!K38</f>
        <v>0</v>
      </c>
      <c r="H109" s="323">
        <f>Begl_Öffentlichkeitsarbeit!L38</f>
        <v>0</v>
      </c>
    </row>
    <row r="110" spans="1:9" ht="15" thickBot="1" x14ac:dyDescent="0.4">
      <c r="A110" s="290"/>
      <c r="B110" s="291">
        <f>Begl_Öffentlichkeitsarbeit!C39</f>
        <v>0</v>
      </c>
      <c r="C110" s="291"/>
      <c r="D110" s="291"/>
      <c r="E110" s="291"/>
      <c r="F110" s="390">
        <f>Begl_Öffentlichkeitsarbeit!J39</f>
        <v>0</v>
      </c>
      <c r="G110" s="390">
        <f>Begl_Öffentlichkeitsarbeit!K39</f>
        <v>0</v>
      </c>
      <c r="H110" s="391">
        <f>Begl_Öffentlichkeitsarbeit!L39</f>
        <v>0</v>
      </c>
    </row>
    <row r="111" spans="1:9" x14ac:dyDescent="0.35">
      <c r="I111" t="e">
        <f>SUM(I2:I106)+SUM(H20:H21)</f>
        <v>#REF!</v>
      </c>
    </row>
    <row r="112" spans="1:9" x14ac:dyDescent="0.35">
      <c r="A112" t="s">
        <v>515</v>
      </c>
      <c r="B112">
        <f>Basisdaten!I14</f>
        <v>0</v>
      </c>
    </row>
    <row r="113" spans="1:2" x14ac:dyDescent="0.35">
      <c r="A113" t="s">
        <v>378</v>
      </c>
      <c r="B113" t="str">
        <f>Basisdaten!I16</f>
        <v>bitte auswählen</v>
      </c>
    </row>
    <row r="114" spans="1:2" x14ac:dyDescent="0.35">
      <c r="A114" t="s">
        <v>516</v>
      </c>
      <c r="B114">
        <f>Basisdaten!I18</f>
        <v>0</v>
      </c>
    </row>
    <row r="115" spans="1:2" x14ac:dyDescent="0.35">
      <c r="A115" t="s">
        <v>517</v>
      </c>
      <c r="B115" s="397">
        <f>Basisdaten!I20</f>
        <v>0</v>
      </c>
    </row>
    <row r="116" spans="1:2" x14ac:dyDescent="0.35">
      <c r="A116" t="s">
        <v>177</v>
      </c>
      <c r="B116">
        <f>Basisdaten!I22</f>
        <v>0</v>
      </c>
    </row>
    <row r="117" spans="1:2" x14ac:dyDescent="0.35">
      <c r="A117" t="s">
        <v>259</v>
      </c>
      <c r="B117" t="e">
        <f>Basisdaten!#REF!</f>
        <v>#REF!</v>
      </c>
    </row>
    <row r="118" spans="1:2" x14ac:dyDescent="0.35">
      <c r="A118" t="s">
        <v>518</v>
      </c>
      <c r="B118" t="e">
        <f>Basisdaten!#REF!</f>
        <v>#REF!</v>
      </c>
    </row>
    <row r="119" spans="1:2" x14ac:dyDescent="0.35">
      <c r="A119" t="s">
        <v>519</v>
      </c>
      <c r="B119" t="e">
        <f>Basisdaten!#REF!</f>
        <v>#REF!</v>
      </c>
    </row>
    <row r="120" spans="1:2" x14ac:dyDescent="0.35">
      <c r="A120" t="s">
        <v>520</v>
      </c>
      <c r="B120" t="e">
        <f>Basisdaten!#REF!</f>
        <v>#REF!</v>
      </c>
    </row>
    <row r="121" spans="1:2" x14ac:dyDescent="0.35">
      <c r="A121" t="s">
        <v>521</v>
      </c>
      <c r="B121" s="68">
        <f>Basisdaten!I36</f>
        <v>0</v>
      </c>
    </row>
    <row r="122" spans="1:2" x14ac:dyDescent="0.35">
      <c r="A122" t="s">
        <v>522</v>
      </c>
      <c r="B122" s="68" t="str">
        <f>Basisdaten!L36</f>
        <v/>
      </c>
    </row>
  </sheetData>
  <mergeCells count="1">
    <mergeCell ref="B1:H1"/>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I96"/>
  <sheetViews>
    <sheetView showGridLines="0" showRowColHeaders="0" zoomScaleNormal="100" zoomScaleSheetLayoutView="124" workbookViewId="0">
      <selection activeCell="C9" sqref="C9:Q41"/>
    </sheetView>
  </sheetViews>
  <sheetFormatPr baseColWidth="10" defaultColWidth="11.453125" defaultRowHeight="11.5" x14ac:dyDescent="0.25"/>
  <cols>
    <col min="1" max="1" width="2.54296875" style="1" customWidth="1"/>
    <col min="2" max="2" width="2.7265625" style="1" customWidth="1"/>
    <col min="3" max="3" width="2.81640625" style="1" customWidth="1"/>
    <col min="4" max="4" width="3.1796875" style="1" customWidth="1"/>
    <col min="5" max="5" width="3.7265625" style="1" customWidth="1"/>
    <col min="6" max="6" width="3.453125" style="1" customWidth="1"/>
    <col min="7" max="7" width="0.7265625" style="1" customWidth="1"/>
    <col min="8" max="8" width="9.453125" style="1" customWidth="1"/>
    <col min="9" max="9" width="4.54296875" style="1" customWidth="1"/>
    <col min="10" max="10" width="7.26953125" style="1" customWidth="1"/>
    <col min="11" max="11" width="10" style="1" customWidth="1"/>
    <col min="12" max="13" width="5.7265625" style="1" customWidth="1"/>
    <col min="14" max="16" width="11.453125" style="1" customWidth="1"/>
    <col min="17" max="17" width="12.81640625" style="1" customWidth="1"/>
    <col min="18" max="19" width="2.26953125" style="1" customWidth="1"/>
    <col min="20" max="20" width="21.54296875" style="1" customWidth="1"/>
    <col min="21" max="16384" width="11.453125" style="1"/>
  </cols>
  <sheetData>
    <row r="1" spans="1:35" x14ac:dyDescent="0.25">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row>
    <row r="2" spans="1:35" ht="12.75" hidden="1" customHeight="1" x14ac:dyDescent="0.25">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row>
    <row r="3" spans="1:35" ht="12" customHeight="1" x14ac:dyDescent="0.25">
      <c r="A3" s="421"/>
      <c r="S3" s="421"/>
      <c r="T3" s="421"/>
      <c r="U3" s="421"/>
      <c r="V3" s="421"/>
      <c r="W3" s="421"/>
      <c r="X3" s="421"/>
      <c r="Y3" s="421"/>
      <c r="Z3" s="421"/>
      <c r="AA3" s="421"/>
      <c r="AB3" s="421"/>
      <c r="AC3" s="421"/>
      <c r="AD3" s="421"/>
      <c r="AE3" s="421"/>
      <c r="AF3" s="421"/>
      <c r="AG3" s="421"/>
      <c r="AH3" s="421"/>
      <c r="AI3" s="421"/>
    </row>
    <row r="4" spans="1:35" s="4" customFormat="1" ht="50.25" customHeight="1" x14ac:dyDescent="0.25">
      <c r="A4" s="422"/>
      <c r="C4" s="533" t="str">
        <f>Basisdaten!C3</f>
        <v>Vorhabenbeschreibung 
4.1.10 a): Erstellung eines 
Fokuskonzeptes</v>
      </c>
      <c r="D4" s="533"/>
      <c r="E4" s="533"/>
      <c r="F4" s="533"/>
      <c r="G4" s="533"/>
      <c r="H4" s="533"/>
      <c r="I4" s="533"/>
      <c r="J4" s="533"/>
      <c r="K4" s="533"/>
      <c r="L4" s="533"/>
      <c r="M4" s="533"/>
      <c r="N4" s="1"/>
      <c r="O4" s="1"/>
      <c r="P4" s="1"/>
      <c r="Q4" s="1"/>
      <c r="R4" s="1"/>
      <c r="S4" s="422"/>
      <c r="T4" s="422"/>
      <c r="U4" s="422"/>
      <c r="V4" s="422"/>
      <c r="W4" s="422"/>
      <c r="X4" s="422"/>
      <c r="Y4" s="422"/>
      <c r="Z4" s="422"/>
      <c r="AA4" s="422"/>
      <c r="AB4" s="422"/>
      <c r="AC4" s="422"/>
      <c r="AD4" s="422"/>
      <c r="AE4" s="422"/>
      <c r="AF4" s="422"/>
      <c r="AG4" s="422"/>
      <c r="AH4" s="422"/>
      <c r="AI4" s="422"/>
    </row>
    <row r="5" spans="1:35" s="4" customFormat="1" ht="13.5" customHeight="1" x14ac:dyDescent="0.25">
      <c r="A5" s="422"/>
      <c r="C5" s="579" t="str">
        <f>Basisdaten!$C$6</f>
        <v/>
      </c>
      <c r="D5" s="579"/>
      <c r="E5" s="579"/>
      <c r="F5" s="579"/>
      <c r="G5" s="579"/>
      <c r="H5" s="579"/>
      <c r="I5" s="579"/>
      <c r="J5" s="579"/>
      <c r="K5" s="579"/>
      <c r="L5" s="579"/>
      <c r="M5" s="579"/>
      <c r="N5" s="1"/>
      <c r="O5" s="1"/>
      <c r="P5" s="1"/>
      <c r="Q5" s="1"/>
      <c r="R5" s="1"/>
      <c r="S5" s="422"/>
      <c r="T5" s="422"/>
      <c r="U5" s="422"/>
      <c r="V5" s="422"/>
      <c r="W5" s="422"/>
      <c r="X5" s="422"/>
      <c r="Y5" s="422"/>
      <c r="Z5" s="422"/>
      <c r="AA5" s="422"/>
      <c r="AB5" s="422"/>
      <c r="AC5" s="422"/>
      <c r="AD5" s="422"/>
      <c r="AE5" s="422"/>
      <c r="AF5" s="422"/>
      <c r="AG5" s="422"/>
      <c r="AH5" s="422"/>
      <c r="AI5" s="422"/>
    </row>
    <row r="6" spans="1:35" s="4" customFormat="1" ht="12" customHeight="1" x14ac:dyDescent="0.25">
      <c r="A6" s="422"/>
      <c r="C6" s="930"/>
      <c r="D6" s="930"/>
      <c r="E6" s="930"/>
      <c r="F6" s="930"/>
      <c r="G6" s="930"/>
      <c r="H6" s="930"/>
      <c r="I6" s="930"/>
      <c r="J6" s="930"/>
      <c r="K6" s="930"/>
      <c r="L6" s="930"/>
      <c r="M6" s="930"/>
      <c r="N6" s="930"/>
      <c r="O6" s="930"/>
      <c r="P6" s="930"/>
      <c r="Q6" s="930"/>
      <c r="R6" s="1"/>
      <c r="S6" s="422"/>
      <c r="T6" s="422"/>
      <c r="U6" s="422"/>
      <c r="V6" s="422"/>
      <c r="W6" s="422"/>
      <c r="X6" s="422"/>
      <c r="Y6" s="422"/>
      <c r="Z6" s="422"/>
      <c r="AA6" s="422"/>
      <c r="AB6" s="422"/>
      <c r="AC6" s="422"/>
      <c r="AD6" s="422"/>
      <c r="AE6" s="422"/>
      <c r="AF6" s="422"/>
      <c r="AG6" s="422"/>
      <c r="AH6" s="422"/>
      <c r="AI6" s="422"/>
    </row>
    <row r="7" spans="1:35" s="4" customFormat="1" ht="6" customHeight="1" thickBot="1" x14ac:dyDescent="0.3">
      <c r="A7" s="422"/>
      <c r="C7" s="351"/>
      <c r="D7" s="335"/>
      <c r="E7" s="335"/>
      <c r="F7" s="335"/>
      <c r="G7" s="335"/>
      <c r="H7" s="335"/>
      <c r="I7" s="335"/>
      <c r="J7" s="335"/>
      <c r="K7" s="335"/>
      <c r="L7" s="335"/>
      <c r="M7" s="335"/>
      <c r="N7" s="1"/>
      <c r="O7" s="1"/>
      <c r="P7" s="1"/>
      <c r="Q7" s="1"/>
      <c r="R7" s="1"/>
      <c r="S7" s="422"/>
      <c r="T7" s="422"/>
      <c r="U7" s="422"/>
      <c r="V7" s="422"/>
      <c r="W7" s="422"/>
      <c r="X7" s="422"/>
      <c r="Y7" s="422"/>
      <c r="Z7" s="422"/>
      <c r="AA7" s="422"/>
      <c r="AB7" s="422"/>
      <c r="AC7" s="422"/>
      <c r="AD7" s="422"/>
      <c r="AE7" s="422"/>
      <c r="AF7" s="422"/>
      <c r="AG7" s="422"/>
      <c r="AH7" s="422"/>
      <c r="AI7" s="422"/>
    </row>
    <row r="8" spans="1:35" ht="24.75" customHeight="1" thickBot="1" x14ac:dyDescent="0.3">
      <c r="A8" s="421"/>
      <c r="C8" s="940" t="s">
        <v>662</v>
      </c>
      <c r="D8" s="941"/>
      <c r="E8" s="941"/>
      <c r="F8" s="941"/>
      <c r="G8" s="941"/>
      <c r="H8" s="941"/>
      <c r="I8" s="941"/>
      <c r="J8" s="941"/>
      <c r="K8" s="941"/>
      <c r="L8" s="941"/>
      <c r="M8" s="941"/>
      <c r="N8" s="941"/>
      <c r="O8" s="941"/>
      <c r="P8" s="941"/>
      <c r="Q8" s="942"/>
      <c r="S8" s="421"/>
      <c r="T8" s="421"/>
      <c r="U8" s="431"/>
      <c r="V8" s="431"/>
      <c r="W8" s="431"/>
      <c r="X8" s="431"/>
      <c r="Y8" s="431"/>
      <c r="Z8" s="431"/>
      <c r="AA8" s="431"/>
      <c r="AB8" s="431"/>
      <c r="AC8" s="431"/>
      <c r="AD8" s="431"/>
      <c r="AE8" s="431"/>
      <c r="AF8" s="431"/>
      <c r="AG8" s="431"/>
      <c r="AH8" s="431"/>
      <c r="AI8" s="431"/>
    </row>
    <row r="9" spans="1:35" ht="12" customHeight="1" x14ac:dyDescent="0.25">
      <c r="A9" s="421"/>
      <c r="C9" s="931" t="s">
        <v>678</v>
      </c>
      <c r="D9" s="932"/>
      <c r="E9" s="932"/>
      <c r="F9" s="932"/>
      <c r="G9" s="932"/>
      <c r="H9" s="932"/>
      <c r="I9" s="932"/>
      <c r="J9" s="932"/>
      <c r="K9" s="932"/>
      <c r="L9" s="932"/>
      <c r="M9" s="932"/>
      <c r="N9" s="932"/>
      <c r="O9" s="932"/>
      <c r="P9" s="932"/>
      <c r="Q9" s="933"/>
      <c r="S9" s="421"/>
      <c r="T9" s="421"/>
      <c r="U9" s="421"/>
      <c r="V9" s="421"/>
      <c r="W9" s="421"/>
      <c r="X9" s="421"/>
      <c r="Y9" s="421"/>
      <c r="Z9" s="421"/>
      <c r="AA9" s="421"/>
      <c r="AB9" s="421"/>
      <c r="AC9" s="421"/>
      <c r="AD9" s="421"/>
      <c r="AE9" s="421"/>
      <c r="AF9" s="421"/>
      <c r="AG9" s="421"/>
      <c r="AH9" s="421"/>
      <c r="AI9" s="421"/>
    </row>
    <row r="10" spans="1:35" ht="15" customHeight="1" x14ac:dyDescent="0.25">
      <c r="A10" s="421"/>
      <c r="C10" s="934"/>
      <c r="D10" s="935"/>
      <c r="E10" s="935"/>
      <c r="F10" s="935"/>
      <c r="G10" s="935"/>
      <c r="H10" s="935"/>
      <c r="I10" s="935"/>
      <c r="J10" s="935"/>
      <c r="K10" s="935"/>
      <c r="L10" s="935"/>
      <c r="M10" s="935"/>
      <c r="N10" s="935"/>
      <c r="O10" s="935"/>
      <c r="P10" s="935"/>
      <c r="Q10" s="936"/>
      <c r="S10" s="421"/>
      <c r="T10" s="421"/>
      <c r="U10" s="421"/>
      <c r="V10" s="421"/>
      <c r="W10" s="421"/>
      <c r="X10" s="421"/>
      <c r="Y10" s="421"/>
      <c r="Z10" s="421"/>
      <c r="AA10" s="421"/>
      <c r="AB10" s="421"/>
      <c r="AC10" s="421"/>
      <c r="AD10" s="421"/>
      <c r="AE10" s="421"/>
      <c r="AF10" s="421"/>
      <c r="AG10" s="421"/>
      <c r="AH10" s="421"/>
      <c r="AI10" s="421"/>
    </row>
    <row r="11" spans="1:35" ht="12" customHeight="1" x14ac:dyDescent="0.25">
      <c r="A11" s="421"/>
      <c r="C11" s="934"/>
      <c r="D11" s="935"/>
      <c r="E11" s="935"/>
      <c r="F11" s="935"/>
      <c r="G11" s="935"/>
      <c r="H11" s="935"/>
      <c r="I11" s="935"/>
      <c r="J11" s="935"/>
      <c r="K11" s="935"/>
      <c r="L11" s="935"/>
      <c r="M11" s="935"/>
      <c r="N11" s="935"/>
      <c r="O11" s="935"/>
      <c r="P11" s="935"/>
      <c r="Q11" s="936"/>
      <c r="S11" s="421"/>
      <c r="T11" s="421"/>
      <c r="U11" s="421"/>
      <c r="V11" s="421"/>
      <c r="W11" s="421"/>
      <c r="X11" s="421"/>
      <c r="Y11" s="421"/>
      <c r="Z11" s="421"/>
      <c r="AA11" s="421"/>
      <c r="AB11" s="421"/>
      <c r="AC11" s="421"/>
      <c r="AD11" s="421"/>
      <c r="AE11" s="421"/>
      <c r="AF11" s="421"/>
      <c r="AG11" s="421"/>
      <c r="AH11" s="421"/>
      <c r="AI11" s="421"/>
    </row>
    <row r="12" spans="1:35" ht="15" customHeight="1" x14ac:dyDescent="0.25">
      <c r="A12" s="421"/>
      <c r="C12" s="934"/>
      <c r="D12" s="935"/>
      <c r="E12" s="935"/>
      <c r="F12" s="935"/>
      <c r="G12" s="935"/>
      <c r="H12" s="935"/>
      <c r="I12" s="935"/>
      <c r="J12" s="935"/>
      <c r="K12" s="935"/>
      <c r="L12" s="935"/>
      <c r="M12" s="935"/>
      <c r="N12" s="935"/>
      <c r="O12" s="935"/>
      <c r="P12" s="935"/>
      <c r="Q12" s="936"/>
      <c r="S12" s="421"/>
      <c r="T12" s="421"/>
      <c r="U12" s="421"/>
      <c r="V12" s="421"/>
      <c r="W12" s="421"/>
      <c r="X12" s="421"/>
      <c r="Y12" s="421"/>
      <c r="Z12" s="421"/>
      <c r="AA12" s="421"/>
      <c r="AB12" s="421"/>
      <c r="AC12" s="421"/>
      <c r="AD12" s="421"/>
      <c r="AE12" s="421"/>
      <c r="AF12" s="421"/>
      <c r="AG12" s="421"/>
      <c r="AH12" s="421"/>
      <c r="AI12" s="421"/>
    </row>
    <row r="13" spans="1:35" ht="15" customHeight="1" x14ac:dyDescent="0.25">
      <c r="A13" s="421"/>
      <c r="C13" s="934"/>
      <c r="D13" s="935"/>
      <c r="E13" s="935"/>
      <c r="F13" s="935"/>
      <c r="G13" s="935"/>
      <c r="H13" s="935"/>
      <c r="I13" s="935"/>
      <c r="J13" s="935"/>
      <c r="K13" s="935"/>
      <c r="L13" s="935"/>
      <c r="M13" s="935"/>
      <c r="N13" s="935"/>
      <c r="O13" s="935"/>
      <c r="P13" s="935"/>
      <c r="Q13" s="936"/>
      <c r="S13" s="421"/>
      <c r="T13" s="421"/>
      <c r="U13" s="421"/>
      <c r="V13" s="421"/>
      <c r="W13" s="421"/>
      <c r="X13" s="421"/>
      <c r="Y13" s="421"/>
      <c r="Z13" s="421"/>
      <c r="AA13" s="421"/>
      <c r="AB13" s="421"/>
      <c r="AC13" s="421"/>
      <c r="AD13" s="421"/>
      <c r="AE13" s="421"/>
      <c r="AF13" s="421"/>
      <c r="AG13" s="421"/>
      <c r="AH13" s="421"/>
      <c r="AI13" s="421"/>
    </row>
    <row r="14" spans="1:35" ht="15" customHeight="1" x14ac:dyDescent="0.25">
      <c r="A14" s="421"/>
      <c r="C14" s="934"/>
      <c r="D14" s="935"/>
      <c r="E14" s="935"/>
      <c r="F14" s="935"/>
      <c r="G14" s="935"/>
      <c r="H14" s="935"/>
      <c r="I14" s="935"/>
      <c r="J14" s="935"/>
      <c r="K14" s="935"/>
      <c r="L14" s="935"/>
      <c r="M14" s="935"/>
      <c r="N14" s="935"/>
      <c r="O14" s="935"/>
      <c r="P14" s="935"/>
      <c r="Q14" s="936"/>
      <c r="S14" s="421"/>
      <c r="T14" s="421"/>
      <c r="U14" s="421"/>
      <c r="V14" s="421"/>
      <c r="W14" s="421"/>
      <c r="X14" s="421"/>
      <c r="Y14" s="421"/>
      <c r="Z14" s="421"/>
      <c r="AA14" s="421"/>
      <c r="AB14" s="421"/>
      <c r="AC14" s="421"/>
      <c r="AD14" s="421"/>
      <c r="AE14" s="421"/>
      <c r="AF14" s="421"/>
      <c r="AG14" s="421"/>
      <c r="AH14" s="421"/>
      <c r="AI14" s="421"/>
    </row>
    <row r="15" spans="1:35" ht="15" customHeight="1" x14ac:dyDescent="0.25">
      <c r="A15" s="421"/>
      <c r="C15" s="934"/>
      <c r="D15" s="935"/>
      <c r="E15" s="935"/>
      <c r="F15" s="935"/>
      <c r="G15" s="935"/>
      <c r="H15" s="935"/>
      <c r="I15" s="935"/>
      <c r="J15" s="935"/>
      <c r="K15" s="935"/>
      <c r="L15" s="935"/>
      <c r="M15" s="935"/>
      <c r="N15" s="935"/>
      <c r="O15" s="935"/>
      <c r="P15" s="935"/>
      <c r="Q15" s="936"/>
      <c r="S15" s="421"/>
      <c r="T15" s="421"/>
      <c r="U15" s="421"/>
      <c r="V15" s="421"/>
      <c r="W15" s="421"/>
      <c r="X15" s="421"/>
      <c r="Y15" s="421"/>
      <c r="Z15" s="421"/>
      <c r="AA15" s="421"/>
      <c r="AB15" s="421"/>
      <c r="AC15" s="421"/>
      <c r="AD15" s="421"/>
      <c r="AE15" s="421"/>
      <c r="AF15" s="421"/>
      <c r="AG15" s="421"/>
      <c r="AH15" s="421"/>
      <c r="AI15" s="421"/>
    </row>
    <row r="16" spans="1:35" ht="15" customHeight="1" x14ac:dyDescent="0.25">
      <c r="A16" s="421"/>
      <c r="C16" s="934"/>
      <c r="D16" s="935"/>
      <c r="E16" s="935"/>
      <c r="F16" s="935"/>
      <c r="G16" s="935"/>
      <c r="H16" s="935"/>
      <c r="I16" s="935"/>
      <c r="J16" s="935"/>
      <c r="K16" s="935"/>
      <c r="L16" s="935"/>
      <c r="M16" s="935"/>
      <c r="N16" s="935"/>
      <c r="O16" s="935"/>
      <c r="P16" s="935"/>
      <c r="Q16" s="936"/>
      <c r="S16" s="421"/>
      <c r="T16" s="421"/>
      <c r="U16" s="421"/>
      <c r="V16" s="421"/>
      <c r="W16" s="421"/>
      <c r="X16" s="421"/>
      <c r="Y16" s="421"/>
      <c r="Z16" s="421"/>
      <c r="AA16" s="421"/>
      <c r="AB16" s="421"/>
      <c r="AC16" s="421"/>
      <c r="AD16" s="421"/>
      <c r="AE16" s="421"/>
      <c r="AF16" s="421"/>
      <c r="AG16" s="421"/>
      <c r="AH16" s="421"/>
      <c r="AI16" s="421"/>
    </row>
    <row r="17" spans="1:35" ht="15" customHeight="1" x14ac:dyDescent="0.25">
      <c r="A17" s="421"/>
      <c r="C17" s="934"/>
      <c r="D17" s="935"/>
      <c r="E17" s="935"/>
      <c r="F17" s="935"/>
      <c r="G17" s="935"/>
      <c r="H17" s="935"/>
      <c r="I17" s="935"/>
      <c r="J17" s="935"/>
      <c r="K17" s="935"/>
      <c r="L17" s="935"/>
      <c r="M17" s="935"/>
      <c r="N17" s="935"/>
      <c r="O17" s="935"/>
      <c r="P17" s="935"/>
      <c r="Q17" s="936"/>
      <c r="S17" s="421"/>
      <c r="T17" s="421"/>
      <c r="U17" s="421"/>
      <c r="V17" s="421"/>
      <c r="W17" s="421"/>
      <c r="X17" s="421"/>
      <c r="Y17" s="421"/>
      <c r="Z17" s="421"/>
      <c r="AA17" s="421"/>
      <c r="AB17" s="421"/>
      <c r="AC17" s="421"/>
      <c r="AD17" s="421"/>
      <c r="AE17" s="421"/>
      <c r="AF17" s="421"/>
      <c r="AG17" s="421"/>
      <c r="AH17" s="421"/>
      <c r="AI17" s="421"/>
    </row>
    <row r="18" spans="1:35" ht="15" customHeight="1" x14ac:dyDescent="0.25">
      <c r="A18" s="421"/>
      <c r="C18" s="934"/>
      <c r="D18" s="935"/>
      <c r="E18" s="935"/>
      <c r="F18" s="935"/>
      <c r="G18" s="935"/>
      <c r="H18" s="935"/>
      <c r="I18" s="935"/>
      <c r="J18" s="935"/>
      <c r="K18" s="935"/>
      <c r="L18" s="935"/>
      <c r="M18" s="935"/>
      <c r="N18" s="935"/>
      <c r="O18" s="935"/>
      <c r="P18" s="935"/>
      <c r="Q18" s="936"/>
      <c r="S18" s="421"/>
      <c r="T18" s="421"/>
      <c r="U18" s="421"/>
      <c r="V18" s="421"/>
      <c r="W18" s="421"/>
      <c r="X18" s="421"/>
      <c r="Y18" s="421"/>
      <c r="Z18" s="421"/>
      <c r="AA18" s="421"/>
      <c r="AB18" s="421"/>
      <c r="AC18" s="421"/>
      <c r="AD18" s="421"/>
      <c r="AE18" s="421"/>
      <c r="AF18" s="421"/>
      <c r="AG18" s="421"/>
      <c r="AH18" s="421"/>
      <c r="AI18" s="421"/>
    </row>
    <row r="19" spans="1:35" ht="15" customHeight="1" x14ac:dyDescent="0.25">
      <c r="A19" s="421"/>
      <c r="C19" s="934"/>
      <c r="D19" s="935"/>
      <c r="E19" s="935"/>
      <c r="F19" s="935"/>
      <c r="G19" s="935"/>
      <c r="H19" s="935"/>
      <c r="I19" s="935"/>
      <c r="J19" s="935"/>
      <c r="K19" s="935"/>
      <c r="L19" s="935"/>
      <c r="M19" s="935"/>
      <c r="N19" s="935"/>
      <c r="O19" s="935"/>
      <c r="P19" s="935"/>
      <c r="Q19" s="936"/>
      <c r="S19" s="421"/>
      <c r="T19" s="421"/>
      <c r="U19" s="421"/>
      <c r="V19" s="421"/>
      <c r="W19" s="421"/>
      <c r="X19" s="421"/>
      <c r="Y19" s="421"/>
      <c r="Z19" s="421"/>
      <c r="AA19" s="421"/>
      <c r="AB19" s="421"/>
      <c r="AC19" s="421"/>
      <c r="AD19" s="421"/>
      <c r="AE19" s="421"/>
      <c r="AF19" s="421"/>
      <c r="AG19" s="421"/>
      <c r="AH19" s="421"/>
      <c r="AI19" s="421"/>
    </row>
    <row r="20" spans="1:35" ht="15" customHeight="1" x14ac:dyDescent="0.25">
      <c r="A20" s="421"/>
      <c r="C20" s="934"/>
      <c r="D20" s="935"/>
      <c r="E20" s="935"/>
      <c r="F20" s="935"/>
      <c r="G20" s="935"/>
      <c r="H20" s="935"/>
      <c r="I20" s="935"/>
      <c r="J20" s="935"/>
      <c r="K20" s="935"/>
      <c r="L20" s="935"/>
      <c r="M20" s="935"/>
      <c r="N20" s="935"/>
      <c r="O20" s="935"/>
      <c r="P20" s="935"/>
      <c r="Q20" s="936"/>
      <c r="S20" s="421"/>
      <c r="T20" s="421"/>
      <c r="U20" s="421"/>
      <c r="V20" s="421"/>
      <c r="W20" s="421"/>
      <c r="X20" s="421"/>
      <c r="Y20" s="421"/>
      <c r="Z20" s="421"/>
      <c r="AA20" s="421"/>
      <c r="AB20" s="421"/>
      <c r="AC20" s="421"/>
      <c r="AD20" s="421"/>
      <c r="AE20" s="421"/>
      <c r="AF20" s="421"/>
      <c r="AG20" s="421"/>
      <c r="AH20" s="421"/>
      <c r="AI20" s="421"/>
    </row>
    <row r="21" spans="1:35" ht="15" customHeight="1" x14ac:dyDescent="0.25">
      <c r="A21" s="421"/>
      <c r="C21" s="934"/>
      <c r="D21" s="935"/>
      <c r="E21" s="935"/>
      <c r="F21" s="935"/>
      <c r="G21" s="935"/>
      <c r="H21" s="935"/>
      <c r="I21" s="935"/>
      <c r="J21" s="935"/>
      <c r="K21" s="935"/>
      <c r="L21" s="935"/>
      <c r="M21" s="935"/>
      <c r="N21" s="935"/>
      <c r="O21" s="935"/>
      <c r="P21" s="935"/>
      <c r="Q21" s="936"/>
      <c r="S21" s="421"/>
      <c r="T21" s="421"/>
      <c r="U21" s="421"/>
      <c r="V21" s="421"/>
      <c r="W21" s="421"/>
      <c r="X21" s="421"/>
      <c r="Y21" s="421"/>
      <c r="Z21" s="421"/>
      <c r="AA21" s="421"/>
      <c r="AB21" s="421"/>
      <c r="AC21" s="421"/>
      <c r="AD21" s="421"/>
      <c r="AE21" s="421"/>
      <c r="AF21" s="421"/>
      <c r="AG21" s="421"/>
      <c r="AH21" s="421"/>
      <c r="AI21" s="421"/>
    </row>
    <row r="22" spans="1:35" ht="15" customHeight="1" x14ac:dyDescent="0.25">
      <c r="A22" s="421"/>
      <c r="C22" s="934"/>
      <c r="D22" s="935"/>
      <c r="E22" s="935"/>
      <c r="F22" s="935"/>
      <c r="G22" s="935"/>
      <c r="H22" s="935"/>
      <c r="I22" s="935"/>
      <c r="J22" s="935"/>
      <c r="K22" s="935"/>
      <c r="L22" s="935"/>
      <c r="M22" s="935"/>
      <c r="N22" s="935"/>
      <c r="O22" s="935"/>
      <c r="P22" s="935"/>
      <c r="Q22" s="936"/>
      <c r="S22" s="421"/>
      <c r="T22" s="421"/>
      <c r="U22" s="421"/>
      <c r="V22" s="421"/>
      <c r="W22" s="421"/>
      <c r="X22" s="421"/>
      <c r="Y22" s="421"/>
      <c r="Z22" s="421"/>
      <c r="AA22" s="421"/>
      <c r="AB22" s="421"/>
      <c r="AC22" s="421"/>
      <c r="AD22" s="421"/>
      <c r="AE22" s="421"/>
      <c r="AF22" s="421"/>
      <c r="AG22" s="421"/>
      <c r="AH22" s="421"/>
      <c r="AI22" s="421"/>
    </row>
    <row r="23" spans="1:35" ht="22.5" customHeight="1" x14ac:dyDescent="0.25">
      <c r="A23" s="421"/>
      <c r="C23" s="934"/>
      <c r="D23" s="935"/>
      <c r="E23" s="935"/>
      <c r="F23" s="935"/>
      <c r="G23" s="935"/>
      <c r="H23" s="935"/>
      <c r="I23" s="935"/>
      <c r="J23" s="935"/>
      <c r="K23" s="935"/>
      <c r="L23" s="935"/>
      <c r="M23" s="935"/>
      <c r="N23" s="935"/>
      <c r="O23" s="935"/>
      <c r="P23" s="935"/>
      <c r="Q23" s="936"/>
      <c r="S23" s="421"/>
      <c r="T23" s="421"/>
      <c r="U23" s="421"/>
      <c r="V23" s="421"/>
      <c r="W23" s="421"/>
      <c r="X23" s="421"/>
      <c r="Y23" s="421"/>
      <c r="Z23" s="421"/>
      <c r="AA23" s="421"/>
      <c r="AB23" s="421"/>
      <c r="AC23" s="421"/>
      <c r="AD23" s="421"/>
      <c r="AE23" s="421"/>
      <c r="AF23" s="421"/>
      <c r="AG23" s="421"/>
      <c r="AH23" s="421"/>
      <c r="AI23" s="421"/>
    </row>
    <row r="24" spans="1:35" ht="6" customHeight="1" x14ac:dyDescent="0.25">
      <c r="A24" s="421"/>
      <c r="C24" s="934"/>
      <c r="D24" s="935"/>
      <c r="E24" s="935"/>
      <c r="F24" s="935"/>
      <c r="G24" s="935"/>
      <c r="H24" s="935"/>
      <c r="I24" s="935"/>
      <c r="J24" s="935"/>
      <c r="K24" s="935"/>
      <c r="L24" s="935"/>
      <c r="M24" s="935"/>
      <c r="N24" s="935"/>
      <c r="O24" s="935"/>
      <c r="P24" s="935"/>
      <c r="Q24" s="936"/>
      <c r="S24" s="421"/>
      <c r="T24" s="421"/>
      <c r="U24" s="421"/>
      <c r="V24" s="421"/>
      <c r="W24" s="421"/>
      <c r="X24" s="421"/>
      <c r="Y24" s="421"/>
      <c r="Z24" s="421"/>
      <c r="AA24" s="421"/>
      <c r="AB24" s="421"/>
      <c r="AC24" s="421"/>
      <c r="AD24" s="421"/>
      <c r="AE24" s="421"/>
      <c r="AF24" s="421"/>
      <c r="AG24" s="421"/>
      <c r="AH24" s="421"/>
      <c r="AI24" s="421"/>
    </row>
    <row r="25" spans="1:35" ht="24.75" customHeight="1" x14ac:dyDescent="0.25">
      <c r="A25" s="421"/>
      <c r="C25" s="934"/>
      <c r="D25" s="935"/>
      <c r="E25" s="935"/>
      <c r="F25" s="935"/>
      <c r="G25" s="935"/>
      <c r="H25" s="935"/>
      <c r="I25" s="935"/>
      <c r="J25" s="935"/>
      <c r="K25" s="935"/>
      <c r="L25" s="935"/>
      <c r="M25" s="935"/>
      <c r="N25" s="935"/>
      <c r="O25" s="935"/>
      <c r="P25" s="935"/>
      <c r="Q25" s="936"/>
      <c r="S25" s="421"/>
      <c r="T25" s="421"/>
      <c r="U25" s="592"/>
      <c r="V25" s="592"/>
      <c r="W25" s="592"/>
      <c r="X25" s="592"/>
      <c r="Y25" s="592"/>
      <c r="Z25" s="592"/>
      <c r="AA25" s="592"/>
      <c r="AB25" s="592"/>
      <c r="AC25" s="592"/>
      <c r="AD25" s="592"/>
      <c r="AE25" s="592"/>
      <c r="AF25" s="592"/>
      <c r="AG25" s="592"/>
      <c r="AH25" s="592"/>
      <c r="AI25" s="592"/>
    </row>
    <row r="26" spans="1:35" ht="19.5" customHeight="1" x14ac:dyDescent="0.25">
      <c r="A26" s="421"/>
      <c r="C26" s="934"/>
      <c r="D26" s="935"/>
      <c r="E26" s="935"/>
      <c r="F26" s="935"/>
      <c r="G26" s="935"/>
      <c r="H26" s="935"/>
      <c r="I26" s="935"/>
      <c r="J26" s="935"/>
      <c r="K26" s="935"/>
      <c r="L26" s="935"/>
      <c r="M26" s="935"/>
      <c r="N26" s="935"/>
      <c r="O26" s="935"/>
      <c r="P26" s="935"/>
      <c r="Q26" s="936"/>
      <c r="S26" s="421"/>
      <c r="T26" s="421"/>
      <c r="U26" s="421"/>
      <c r="V26" s="421"/>
      <c r="W26" s="421"/>
      <c r="X26" s="421"/>
      <c r="Y26" s="421"/>
      <c r="Z26" s="421"/>
      <c r="AA26" s="421"/>
      <c r="AB26" s="421"/>
      <c r="AC26" s="421"/>
      <c r="AD26" s="421"/>
      <c r="AE26" s="421"/>
      <c r="AF26" s="421"/>
      <c r="AG26" s="421"/>
      <c r="AH26" s="421"/>
      <c r="AI26" s="421"/>
    </row>
    <row r="27" spans="1:35" ht="12" customHeight="1" x14ac:dyDescent="0.25">
      <c r="A27" s="421"/>
      <c r="C27" s="934"/>
      <c r="D27" s="935"/>
      <c r="E27" s="935"/>
      <c r="F27" s="935"/>
      <c r="G27" s="935"/>
      <c r="H27" s="935"/>
      <c r="I27" s="935"/>
      <c r="J27" s="935"/>
      <c r="K27" s="935"/>
      <c r="L27" s="935"/>
      <c r="M27" s="935"/>
      <c r="N27" s="935"/>
      <c r="O27" s="935"/>
      <c r="P27" s="935"/>
      <c r="Q27" s="936"/>
      <c r="S27" s="421"/>
      <c r="T27" s="421"/>
      <c r="U27" s="421"/>
      <c r="V27" s="421"/>
      <c r="W27" s="421"/>
      <c r="X27" s="421"/>
      <c r="Y27" s="421"/>
      <c r="Z27" s="421"/>
      <c r="AA27" s="421"/>
      <c r="AB27" s="421"/>
      <c r="AC27" s="421"/>
      <c r="AD27" s="421"/>
      <c r="AE27" s="421"/>
      <c r="AF27" s="421"/>
      <c r="AG27" s="421"/>
      <c r="AH27" s="421"/>
      <c r="AI27" s="421"/>
    </row>
    <row r="28" spans="1:35" ht="15" customHeight="1" x14ac:dyDescent="0.25">
      <c r="A28" s="421"/>
      <c r="C28" s="934"/>
      <c r="D28" s="935"/>
      <c r="E28" s="935"/>
      <c r="F28" s="935"/>
      <c r="G28" s="935"/>
      <c r="H28" s="935"/>
      <c r="I28" s="935"/>
      <c r="J28" s="935"/>
      <c r="K28" s="935"/>
      <c r="L28" s="935"/>
      <c r="M28" s="935"/>
      <c r="N28" s="935"/>
      <c r="O28" s="935"/>
      <c r="P28" s="935"/>
      <c r="Q28" s="936"/>
      <c r="S28" s="421"/>
      <c r="T28" s="421"/>
      <c r="U28" s="421"/>
      <c r="V28" s="421"/>
      <c r="W28" s="421"/>
      <c r="X28" s="421"/>
      <c r="Y28" s="421"/>
      <c r="Z28" s="421"/>
      <c r="AA28" s="421"/>
      <c r="AB28" s="421"/>
      <c r="AC28" s="421"/>
      <c r="AD28" s="421"/>
      <c r="AE28" s="421"/>
      <c r="AF28" s="421"/>
      <c r="AG28" s="421"/>
      <c r="AH28" s="421"/>
      <c r="AI28" s="421"/>
    </row>
    <row r="29" spans="1:35" ht="12" customHeight="1" x14ac:dyDescent="0.25">
      <c r="A29" s="421"/>
      <c r="C29" s="934"/>
      <c r="D29" s="935"/>
      <c r="E29" s="935"/>
      <c r="F29" s="935"/>
      <c r="G29" s="935"/>
      <c r="H29" s="935"/>
      <c r="I29" s="935"/>
      <c r="J29" s="935"/>
      <c r="K29" s="935"/>
      <c r="L29" s="935"/>
      <c r="M29" s="935"/>
      <c r="N29" s="935"/>
      <c r="O29" s="935"/>
      <c r="P29" s="935"/>
      <c r="Q29" s="936"/>
      <c r="S29" s="421"/>
      <c r="T29" s="421"/>
      <c r="U29" s="421"/>
      <c r="V29" s="421"/>
      <c r="W29" s="421"/>
      <c r="X29" s="421"/>
      <c r="Y29" s="421"/>
      <c r="Z29" s="421"/>
      <c r="AA29" s="421"/>
      <c r="AB29" s="421"/>
      <c r="AC29" s="421"/>
      <c r="AD29" s="421"/>
      <c r="AE29" s="421"/>
      <c r="AF29" s="421"/>
      <c r="AG29" s="421"/>
      <c r="AH29" s="421"/>
      <c r="AI29" s="421"/>
    </row>
    <row r="30" spans="1:35" ht="15" customHeight="1" x14ac:dyDescent="0.25">
      <c r="A30" s="421"/>
      <c r="C30" s="934"/>
      <c r="D30" s="935"/>
      <c r="E30" s="935"/>
      <c r="F30" s="935"/>
      <c r="G30" s="935"/>
      <c r="H30" s="935"/>
      <c r="I30" s="935"/>
      <c r="J30" s="935"/>
      <c r="K30" s="935"/>
      <c r="L30" s="935"/>
      <c r="M30" s="935"/>
      <c r="N30" s="935"/>
      <c r="O30" s="935"/>
      <c r="P30" s="935"/>
      <c r="Q30" s="936"/>
      <c r="S30" s="421"/>
      <c r="T30" s="421"/>
      <c r="U30" s="421"/>
      <c r="V30" s="421"/>
      <c r="W30" s="421"/>
      <c r="X30" s="421"/>
      <c r="Y30" s="421"/>
      <c r="Z30" s="421"/>
      <c r="AA30" s="421"/>
      <c r="AB30" s="421"/>
      <c r="AC30" s="421"/>
      <c r="AD30" s="421"/>
      <c r="AE30" s="421"/>
      <c r="AF30" s="421"/>
      <c r="AG30" s="421"/>
      <c r="AH30" s="421"/>
      <c r="AI30" s="421"/>
    </row>
    <row r="31" spans="1:35" ht="15" customHeight="1" x14ac:dyDescent="0.25">
      <c r="A31" s="421"/>
      <c r="C31" s="934"/>
      <c r="D31" s="935"/>
      <c r="E31" s="935"/>
      <c r="F31" s="935"/>
      <c r="G31" s="935"/>
      <c r="H31" s="935"/>
      <c r="I31" s="935"/>
      <c r="J31" s="935"/>
      <c r="K31" s="935"/>
      <c r="L31" s="935"/>
      <c r="M31" s="935"/>
      <c r="N31" s="935"/>
      <c r="O31" s="935"/>
      <c r="P31" s="935"/>
      <c r="Q31" s="936"/>
      <c r="S31" s="421"/>
      <c r="T31" s="421"/>
      <c r="U31" s="421"/>
      <c r="V31" s="421"/>
      <c r="W31" s="421"/>
      <c r="X31" s="421"/>
      <c r="Y31" s="421"/>
      <c r="Z31" s="421"/>
      <c r="AA31" s="421"/>
      <c r="AB31" s="421"/>
      <c r="AC31" s="421"/>
      <c r="AD31" s="421"/>
      <c r="AE31" s="421"/>
      <c r="AF31" s="421"/>
      <c r="AG31" s="421"/>
      <c r="AH31" s="421"/>
      <c r="AI31" s="421"/>
    </row>
    <row r="32" spans="1:35" ht="15" customHeight="1" x14ac:dyDescent="0.25">
      <c r="A32" s="421"/>
      <c r="C32" s="934"/>
      <c r="D32" s="935"/>
      <c r="E32" s="935"/>
      <c r="F32" s="935"/>
      <c r="G32" s="935"/>
      <c r="H32" s="935"/>
      <c r="I32" s="935"/>
      <c r="J32" s="935"/>
      <c r="K32" s="935"/>
      <c r="L32" s="935"/>
      <c r="M32" s="935"/>
      <c r="N32" s="935"/>
      <c r="O32" s="935"/>
      <c r="P32" s="935"/>
      <c r="Q32" s="936"/>
      <c r="S32" s="421"/>
      <c r="T32" s="421"/>
      <c r="U32" s="421"/>
      <c r="V32" s="421"/>
      <c r="W32" s="421"/>
      <c r="X32" s="421"/>
      <c r="Y32" s="421"/>
      <c r="Z32" s="421"/>
      <c r="AA32" s="421"/>
      <c r="AB32" s="421"/>
      <c r="AC32" s="421"/>
      <c r="AD32" s="421"/>
      <c r="AE32" s="421"/>
      <c r="AF32" s="421"/>
      <c r="AG32" s="421"/>
      <c r="AH32" s="421"/>
      <c r="AI32" s="421"/>
    </row>
    <row r="33" spans="1:35" ht="15" customHeight="1" x14ac:dyDescent="0.25">
      <c r="A33" s="421"/>
      <c r="C33" s="934"/>
      <c r="D33" s="935"/>
      <c r="E33" s="935"/>
      <c r="F33" s="935"/>
      <c r="G33" s="935"/>
      <c r="H33" s="935"/>
      <c r="I33" s="935"/>
      <c r="J33" s="935"/>
      <c r="K33" s="935"/>
      <c r="L33" s="935"/>
      <c r="M33" s="935"/>
      <c r="N33" s="935"/>
      <c r="O33" s="935"/>
      <c r="P33" s="935"/>
      <c r="Q33" s="936"/>
      <c r="S33" s="421"/>
      <c r="T33" s="421"/>
      <c r="U33" s="421"/>
      <c r="V33" s="421"/>
      <c r="W33" s="421"/>
      <c r="X33" s="421"/>
      <c r="Y33" s="421"/>
      <c r="Z33" s="421"/>
      <c r="AA33" s="421"/>
      <c r="AB33" s="421"/>
      <c r="AC33" s="421"/>
      <c r="AD33" s="421"/>
      <c r="AE33" s="421"/>
      <c r="AF33" s="421"/>
      <c r="AG33" s="421"/>
      <c r="AH33" s="421"/>
      <c r="AI33" s="421"/>
    </row>
    <row r="34" spans="1:35" ht="15" customHeight="1" x14ac:dyDescent="0.25">
      <c r="A34" s="421"/>
      <c r="C34" s="934"/>
      <c r="D34" s="935"/>
      <c r="E34" s="935"/>
      <c r="F34" s="935"/>
      <c r="G34" s="935"/>
      <c r="H34" s="935"/>
      <c r="I34" s="935"/>
      <c r="J34" s="935"/>
      <c r="K34" s="935"/>
      <c r="L34" s="935"/>
      <c r="M34" s="935"/>
      <c r="N34" s="935"/>
      <c r="O34" s="935"/>
      <c r="P34" s="935"/>
      <c r="Q34" s="936"/>
      <c r="S34" s="421"/>
      <c r="T34" s="421"/>
      <c r="U34" s="421"/>
      <c r="V34" s="421"/>
      <c r="W34" s="421"/>
      <c r="X34" s="421"/>
      <c r="Y34" s="421"/>
      <c r="Z34" s="421"/>
      <c r="AA34" s="421"/>
      <c r="AB34" s="421"/>
      <c r="AC34" s="421"/>
      <c r="AD34" s="421"/>
      <c r="AE34" s="421"/>
      <c r="AF34" s="421"/>
      <c r="AG34" s="421"/>
      <c r="AH34" s="421"/>
      <c r="AI34" s="421"/>
    </row>
    <row r="35" spans="1:35" ht="15" customHeight="1" x14ac:dyDescent="0.25">
      <c r="A35" s="421"/>
      <c r="C35" s="934"/>
      <c r="D35" s="935"/>
      <c r="E35" s="935"/>
      <c r="F35" s="935"/>
      <c r="G35" s="935"/>
      <c r="H35" s="935"/>
      <c r="I35" s="935"/>
      <c r="J35" s="935"/>
      <c r="K35" s="935"/>
      <c r="L35" s="935"/>
      <c r="M35" s="935"/>
      <c r="N35" s="935"/>
      <c r="O35" s="935"/>
      <c r="P35" s="935"/>
      <c r="Q35" s="936"/>
      <c r="S35" s="421"/>
      <c r="T35" s="421"/>
      <c r="U35" s="421"/>
      <c r="V35" s="421"/>
      <c r="W35" s="421"/>
      <c r="X35" s="421"/>
      <c r="Y35" s="421"/>
      <c r="Z35" s="421"/>
      <c r="AA35" s="421"/>
      <c r="AB35" s="421"/>
      <c r="AC35" s="421"/>
      <c r="AD35" s="421"/>
      <c r="AE35" s="421"/>
      <c r="AF35" s="421"/>
      <c r="AG35" s="421"/>
      <c r="AH35" s="421"/>
      <c r="AI35" s="421"/>
    </row>
    <row r="36" spans="1:35" ht="15" customHeight="1" x14ac:dyDescent="0.25">
      <c r="A36" s="421"/>
      <c r="C36" s="934"/>
      <c r="D36" s="935"/>
      <c r="E36" s="935"/>
      <c r="F36" s="935"/>
      <c r="G36" s="935"/>
      <c r="H36" s="935"/>
      <c r="I36" s="935"/>
      <c r="J36" s="935"/>
      <c r="K36" s="935"/>
      <c r="L36" s="935"/>
      <c r="M36" s="935"/>
      <c r="N36" s="935"/>
      <c r="O36" s="935"/>
      <c r="P36" s="935"/>
      <c r="Q36" s="936"/>
      <c r="S36" s="421"/>
      <c r="T36" s="421"/>
      <c r="U36" s="421"/>
      <c r="V36" s="421"/>
      <c r="W36" s="421"/>
      <c r="X36" s="421"/>
      <c r="Y36" s="421"/>
      <c r="Z36" s="421"/>
      <c r="AA36" s="421"/>
      <c r="AB36" s="421"/>
      <c r="AC36" s="421"/>
      <c r="AD36" s="421"/>
      <c r="AE36" s="421"/>
      <c r="AF36" s="421"/>
      <c r="AG36" s="421"/>
      <c r="AH36" s="421"/>
      <c r="AI36" s="421"/>
    </row>
    <row r="37" spans="1:35" ht="15" customHeight="1" x14ac:dyDescent="0.25">
      <c r="A37" s="421"/>
      <c r="C37" s="934"/>
      <c r="D37" s="935"/>
      <c r="E37" s="935"/>
      <c r="F37" s="935"/>
      <c r="G37" s="935"/>
      <c r="H37" s="935"/>
      <c r="I37" s="935"/>
      <c r="J37" s="935"/>
      <c r="K37" s="935"/>
      <c r="L37" s="935"/>
      <c r="M37" s="935"/>
      <c r="N37" s="935"/>
      <c r="O37" s="935"/>
      <c r="P37" s="935"/>
      <c r="Q37" s="936"/>
      <c r="S37" s="421"/>
      <c r="T37" s="421"/>
      <c r="U37" s="421"/>
      <c r="V37" s="421"/>
      <c r="W37" s="421"/>
      <c r="X37" s="421"/>
      <c r="Y37" s="421"/>
      <c r="Z37" s="421"/>
      <c r="AA37" s="421"/>
      <c r="AB37" s="421"/>
      <c r="AC37" s="421"/>
      <c r="AD37" s="421"/>
      <c r="AE37" s="421"/>
      <c r="AF37" s="421"/>
      <c r="AG37" s="421"/>
      <c r="AH37" s="421"/>
      <c r="AI37" s="421"/>
    </row>
    <row r="38" spans="1:35" ht="15" customHeight="1" x14ac:dyDescent="0.25">
      <c r="A38" s="421"/>
      <c r="C38" s="934"/>
      <c r="D38" s="935"/>
      <c r="E38" s="935"/>
      <c r="F38" s="935"/>
      <c r="G38" s="935"/>
      <c r="H38" s="935"/>
      <c r="I38" s="935"/>
      <c r="J38" s="935"/>
      <c r="K38" s="935"/>
      <c r="L38" s="935"/>
      <c r="M38" s="935"/>
      <c r="N38" s="935"/>
      <c r="O38" s="935"/>
      <c r="P38" s="935"/>
      <c r="Q38" s="936"/>
      <c r="S38" s="421"/>
      <c r="T38" s="421"/>
      <c r="U38" s="421"/>
      <c r="V38" s="421"/>
      <c r="W38" s="421"/>
      <c r="X38" s="421"/>
      <c r="Y38" s="421"/>
      <c r="Z38" s="421"/>
      <c r="AA38" s="421"/>
      <c r="AB38" s="421"/>
      <c r="AC38" s="421"/>
      <c r="AD38" s="421"/>
      <c r="AE38" s="421"/>
      <c r="AF38" s="421"/>
      <c r="AG38" s="421"/>
      <c r="AH38" s="421"/>
      <c r="AI38" s="421"/>
    </row>
    <row r="39" spans="1:35" ht="15" customHeight="1" x14ac:dyDescent="0.25">
      <c r="A39" s="421"/>
      <c r="C39" s="934"/>
      <c r="D39" s="935"/>
      <c r="E39" s="935"/>
      <c r="F39" s="935"/>
      <c r="G39" s="935"/>
      <c r="H39" s="935"/>
      <c r="I39" s="935"/>
      <c r="J39" s="935"/>
      <c r="K39" s="935"/>
      <c r="L39" s="935"/>
      <c r="M39" s="935"/>
      <c r="N39" s="935"/>
      <c r="O39" s="935"/>
      <c r="P39" s="935"/>
      <c r="Q39" s="936"/>
      <c r="S39" s="421"/>
      <c r="T39" s="421"/>
      <c r="U39" s="421"/>
      <c r="V39" s="421"/>
      <c r="W39" s="421"/>
      <c r="X39" s="421"/>
      <c r="Y39" s="421"/>
      <c r="Z39" s="421"/>
      <c r="AA39" s="421"/>
      <c r="AB39" s="421"/>
      <c r="AC39" s="421"/>
      <c r="AD39" s="421"/>
      <c r="AE39" s="421"/>
      <c r="AF39" s="421"/>
      <c r="AG39" s="421"/>
      <c r="AH39" s="421"/>
      <c r="AI39" s="421"/>
    </row>
    <row r="40" spans="1:35" ht="15" customHeight="1" x14ac:dyDescent="0.25">
      <c r="A40" s="421"/>
      <c r="C40" s="934"/>
      <c r="D40" s="935"/>
      <c r="E40" s="935"/>
      <c r="F40" s="935"/>
      <c r="G40" s="935"/>
      <c r="H40" s="935"/>
      <c r="I40" s="935"/>
      <c r="J40" s="935"/>
      <c r="K40" s="935"/>
      <c r="L40" s="935"/>
      <c r="M40" s="935"/>
      <c r="N40" s="935"/>
      <c r="O40" s="935"/>
      <c r="P40" s="935"/>
      <c r="Q40" s="936"/>
      <c r="S40" s="421"/>
      <c r="T40" s="421"/>
      <c r="U40" s="421"/>
      <c r="V40" s="421"/>
      <c r="W40" s="421"/>
      <c r="X40" s="421"/>
      <c r="Y40" s="421"/>
      <c r="Z40" s="421"/>
      <c r="AA40" s="421"/>
      <c r="AB40" s="421"/>
      <c r="AC40" s="421"/>
      <c r="AD40" s="421"/>
      <c r="AE40" s="421"/>
      <c r="AF40" s="421"/>
      <c r="AG40" s="421"/>
      <c r="AH40" s="421"/>
      <c r="AI40" s="421"/>
    </row>
    <row r="41" spans="1:35" ht="22.5" customHeight="1" thickBot="1" x14ac:dyDescent="0.3">
      <c r="A41" s="421"/>
      <c r="C41" s="937"/>
      <c r="D41" s="938"/>
      <c r="E41" s="938"/>
      <c r="F41" s="938"/>
      <c r="G41" s="938"/>
      <c r="H41" s="938"/>
      <c r="I41" s="938"/>
      <c r="J41" s="938"/>
      <c r="K41" s="938"/>
      <c r="L41" s="938"/>
      <c r="M41" s="938"/>
      <c r="N41" s="938"/>
      <c r="O41" s="938"/>
      <c r="P41" s="938"/>
      <c r="Q41" s="939"/>
      <c r="S41" s="421"/>
      <c r="T41" s="421"/>
      <c r="U41" s="421"/>
      <c r="V41" s="421"/>
      <c r="W41" s="421"/>
      <c r="X41" s="421"/>
      <c r="Y41" s="421"/>
      <c r="Z41" s="421"/>
      <c r="AA41" s="421"/>
      <c r="AB41" s="421"/>
      <c r="AC41" s="421"/>
      <c r="AD41" s="421"/>
      <c r="AE41" s="421"/>
      <c r="AF41" s="421"/>
      <c r="AG41" s="421"/>
      <c r="AH41" s="421"/>
      <c r="AI41" s="421"/>
    </row>
    <row r="42" spans="1:35" ht="18.75" customHeight="1" x14ac:dyDescent="0.25">
      <c r="A42" s="421"/>
      <c r="C42" s="494"/>
      <c r="D42" s="494"/>
      <c r="E42" s="494"/>
      <c r="F42" s="494"/>
      <c r="G42" s="494"/>
      <c r="H42" s="494"/>
      <c r="I42" s="494"/>
      <c r="J42" s="494"/>
      <c r="K42" s="494"/>
      <c r="L42" s="494"/>
      <c r="M42" s="494"/>
      <c r="N42" s="494"/>
      <c r="O42" s="494"/>
      <c r="P42" s="494"/>
      <c r="Q42" s="494"/>
      <c r="S42" s="421"/>
      <c r="T42" s="421"/>
      <c r="U42" s="421"/>
      <c r="V42" s="421"/>
      <c r="W42" s="421"/>
      <c r="X42" s="421"/>
      <c r="Y42" s="421"/>
      <c r="Z42" s="421"/>
      <c r="AA42" s="421"/>
      <c r="AB42" s="421"/>
      <c r="AC42" s="421"/>
      <c r="AD42" s="421"/>
      <c r="AE42" s="421"/>
      <c r="AF42" s="421"/>
      <c r="AG42" s="421"/>
      <c r="AH42" s="421"/>
      <c r="AI42" s="421"/>
    </row>
    <row r="43" spans="1:35" ht="24.75" customHeight="1" thickBot="1" x14ac:dyDescent="0.3">
      <c r="A43" s="421"/>
      <c r="C43" s="491"/>
      <c r="D43" s="492"/>
      <c r="E43" s="492"/>
      <c r="F43" s="492"/>
      <c r="G43" s="492"/>
      <c r="H43" s="492"/>
      <c r="I43" s="492"/>
      <c r="J43" s="492"/>
      <c r="K43" s="492"/>
      <c r="L43" s="492"/>
      <c r="M43" s="492"/>
      <c r="N43" s="492"/>
      <c r="O43" s="492"/>
      <c r="P43" s="492"/>
      <c r="Q43" s="493"/>
      <c r="S43" s="421"/>
      <c r="T43" s="421"/>
      <c r="U43" s="592"/>
      <c r="V43" s="592"/>
      <c r="W43" s="592"/>
      <c r="X43" s="592"/>
      <c r="Y43" s="592"/>
      <c r="Z43" s="592"/>
      <c r="AA43" s="592"/>
      <c r="AB43" s="592"/>
      <c r="AC43" s="592"/>
      <c r="AD43" s="592"/>
      <c r="AE43" s="592"/>
      <c r="AF43" s="592"/>
      <c r="AG43" s="592"/>
      <c r="AH43" s="592"/>
      <c r="AI43" s="592"/>
    </row>
    <row r="44" spans="1:35" ht="19.5" customHeight="1" x14ac:dyDescent="0.25">
      <c r="A44" s="421"/>
      <c r="C44" s="490"/>
      <c r="D44" s="490"/>
      <c r="E44" s="490"/>
      <c r="F44" s="490"/>
      <c r="G44" s="490"/>
      <c r="H44" s="490"/>
      <c r="I44" s="490"/>
      <c r="J44" s="490"/>
      <c r="K44" s="490"/>
      <c r="L44" s="490"/>
      <c r="M44" s="490"/>
      <c r="N44" s="490"/>
      <c r="O44" s="490"/>
      <c r="P44" s="490"/>
      <c r="Q44" s="490"/>
      <c r="S44" s="421"/>
      <c r="T44" s="421"/>
      <c r="U44" s="421"/>
      <c r="V44" s="421"/>
      <c r="W44" s="421"/>
      <c r="X44" s="421"/>
      <c r="Y44" s="421"/>
      <c r="Z44" s="421"/>
      <c r="AA44" s="421"/>
      <c r="AB44" s="421"/>
      <c r="AC44" s="421"/>
      <c r="AD44" s="421"/>
      <c r="AE44" s="421"/>
      <c r="AF44" s="421"/>
      <c r="AG44" s="421"/>
      <c r="AH44" s="421"/>
      <c r="AI44" s="421"/>
    </row>
    <row r="45" spans="1:35" ht="12" customHeight="1" x14ac:dyDescent="0.25">
      <c r="A45" s="421"/>
      <c r="C45" s="485"/>
      <c r="D45" s="3"/>
      <c r="E45" s="3"/>
      <c r="F45" s="3"/>
      <c r="G45" s="3"/>
      <c r="H45" s="3"/>
      <c r="I45" s="3"/>
      <c r="J45" s="3"/>
      <c r="K45" s="3"/>
      <c r="L45" s="3"/>
      <c r="M45" s="3"/>
      <c r="N45" s="3"/>
      <c r="O45" s="3"/>
      <c r="P45" s="3"/>
      <c r="Q45" s="486"/>
      <c r="S45" s="421"/>
      <c r="T45" s="421"/>
      <c r="U45" s="421"/>
      <c r="V45" s="421"/>
      <c r="W45" s="421"/>
      <c r="X45" s="421"/>
      <c r="Y45" s="421"/>
      <c r="Z45" s="421"/>
      <c r="AA45" s="421"/>
      <c r="AB45" s="421"/>
      <c r="AC45" s="421"/>
      <c r="AD45" s="421"/>
      <c r="AE45" s="421"/>
      <c r="AF45" s="421"/>
      <c r="AG45" s="421"/>
      <c r="AH45" s="421"/>
      <c r="AI45" s="421"/>
    </row>
    <row r="46" spans="1:35" x14ac:dyDescent="0.25">
      <c r="A46" s="421"/>
      <c r="C46" s="485"/>
      <c r="D46" s="3"/>
      <c r="E46" s="3"/>
      <c r="F46" s="3"/>
      <c r="G46" s="3"/>
      <c r="H46" s="3"/>
      <c r="I46" s="3"/>
      <c r="J46" s="3"/>
      <c r="K46" s="3"/>
      <c r="L46" s="3"/>
      <c r="M46" s="3"/>
      <c r="N46" s="3"/>
      <c r="O46" s="3"/>
      <c r="P46" s="3"/>
      <c r="Q46" s="486"/>
      <c r="S46" s="421"/>
      <c r="T46" s="421"/>
      <c r="U46" s="421"/>
      <c r="V46" s="421"/>
      <c r="W46" s="421"/>
      <c r="X46" s="421"/>
      <c r="Y46" s="421"/>
      <c r="Z46" s="421"/>
      <c r="AA46" s="421"/>
      <c r="AB46" s="421"/>
      <c r="AC46" s="421"/>
      <c r="AD46" s="421"/>
      <c r="AE46" s="421"/>
      <c r="AF46" s="421"/>
      <c r="AG46" s="421"/>
      <c r="AH46" s="421"/>
      <c r="AI46" s="421"/>
    </row>
    <row r="47" spans="1:35" ht="12" customHeight="1" x14ac:dyDescent="0.25">
      <c r="A47" s="421"/>
      <c r="C47" s="485"/>
      <c r="D47" s="3"/>
      <c r="E47" s="3"/>
      <c r="F47" s="3"/>
      <c r="G47" s="3"/>
      <c r="H47" s="3"/>
      <c r="I47" s="3"/>
      <c r="J47" s="3"/>
      <c r="K47" s="3"/>
      <c r="L47" s="3"/>
      <c r="M47" s="3"/>
      <c r="N47" s="3"/>
      <c r="O47" s="3"/>
      <c r="P47" s="3"/>
      <c r="Q47" s="486"/>
      <c r="S47" s="421"/>
      <c r="T47" s="421"/>
      <c r="U47" s="421"/>
      <c r="V47" s="421"/>
      <c r="W47" s="421"/>
      <c r="X47" s="421"/>
      <c r="Y47" s="421"/>
      <c r="Z47" s="421"/>
      <c r="AA47" s="421"/>
      <c r="AB47" s="421"/>
      <c r="AC47" s="421"/>
      <c r="AD47" s="421"/>
      <c r="AE47" s="421"/>
      <c r="AF47" s="421"/>
      <c r="AG47" s="421"/>
      <c r="AH47" s="421"/>
      <c r="AI47" s="421"/>
    </row>
    <row r="48" spans="1:35" x14ac:dyDescent="0.25">
      <c r="A48" s="421"/>
      <c r="C48" s="485"/>
      <c r="D48" s="3"/>
      <c r="E48" s="3"/>
      <c r="F48" s="3"/>
      <c r="G48" s="3"/>
      <c r="H48" s="3"/>
      <c r="I48" s="3"/>
      <c r="J48" s="3"/>
      <c r="K48" s="3"/>
      <c r="L48" s="3"/>
      <c r="M48" s="3"/>
      <c r="N48" s="3"/>
      <c r="O48" s="3"/>
      <c r="P48" s="3"/>
      <c r="Q48" s="486"/>
      <c r="S48" s="421"/>
      <c r="T48" s="421"/>
      <c r="U48" s="421"/>
      <c r="V48" s="421"/>
      <c r="W48" s="421"/>
      <c r="X48" s="421"/>
      <c r="Y48" s="421"/>
      <c r="Z48" s="421"/>
      <c r="AA48" s="421"/>
      <c r="AB48" s="421"/>
      <c r="AC48" s="421"/>
      <c r="AD48" s="421"/>
      <c r="AE48" s="421"/>
      <c r="AF48" s="421"/>
      <c r="AG48" s="421"/>
      <c r="AH48" s="421"/>
      <c r="AI48" s="421"/>
    </row>
    <row r="49" spans="1:35" x14ac:dyDescent="0.25">
      <c r="A49" s="421"/>
      <c r="C49" s="485"/>
      <c r="D49" s="3"/>
      <c r="E49" s="3"/>
      <c r="F49" s="3"/>
      <c r="G49" s="3"/>
      <c r="H49" s="3"/>
      <c r="I49" s="3"/>
      <c r="J49" s="3"/>
      <c r="K49" s="3"/>
      <c r="L49" s="3"/>
      <c r="M49" s="3"/>
      <c r="N49" s="3"/>
      <c r="O49" s="3"/>
      <c r="P49" s="3"/>
      <c r="Q49" s="486"/>
      <c r="S49" s="421"/>
      <c r="T49" s="421"/>
      <c r="U49" s="421"/>
      <c r="V49" s="421"/>
      <c r="W49" s="421"/>
      <c r="X49" s="421"/>
      <c r="Y49" s="421"/>
      <c r="Z49" s="421"/>
      <c r="AA49" s="421"/>
      <c r="AB49" s="421"/>
      <c r="AC49" s="421"/>
      <c r="AD49" s="421"/>
      <c r="AE49" s="421"/>
      <c r="AF49" s="421"/>
      <c r="AG49" s="421"/>
      <c r="AH49" s="421"/>
      <c r="AI49" s="421"/>
    </row>
    <row r="50" spans="1:35" x14ac:dyDescent="0.25">
      <c r="A50" s="421"/>
      <c r="C50" s="485"/>
      <c r="D50" s="3"/>
      <c r="E50" s="3"/>
      <c r="F50" s="3"/>
      <c r="G50" s="3"/>
      <c r="H50" s="3"/>
      <c r="I50" s="3"/>
      <c r="J50" s="3"/>
      <c r="K50" s="3"/>
      <c r="L50" s="3"/>
      <c r="M50" s="3"/>
      <c r="N50" s="3"/>
      <c r="O50" s="3"/>
      <c r="P50" s="3"/>
      <c r="Q50" s="486"/>
      <c r="S50" s="421"/>
      <c r="T50" s="421"/>
      <c r="U50" s="421"/>
      <c r="V50" s="421"/>
      <c r="W50" s="421"/>
      <c r="X50" s="421"/>
      <c r="Y50" s="421"/>
      <c r="Z50" s="421"/>
      <c r="AA50" s="421"/>
      <c r="AB50" s="421"/>
      <c r="AC50" s="421"/>
      <c r="AD50" s="421"/>
      <c r="AE50" s="421"/>
      <c r="AF50" s="421"/>
      <c r="AG50" s="421"/>
      <c r="AH50" s="421"/>
      <c r="AI50" s="421"/>
    </row>
    <row r="51" spans="1:35" x14ac:dyDescent="0.25">
      <c r="A51" s="421"/>
      <c r="C51" s="485"/>
      <c r="D51" s="3"/>
      <c r="E51" s="3"/>
      <c r="F51" s="3"/>
      <c r="G51" s="3"/>
      <c r="H51" s="3"/>
      <c r="I51" s="3"/>
      <c r="J51" s="3"/>
      <c r="K51" s="3"/>
      <c r="L51" s="3"/>
      <c r="M51" s="3"/>
      <c r="N51" s="3"/>
      <c r="O51" s="3"/>
      <c r="P51" s="3"/>
      <c r="Q51" s="486"/>
      <c r="S51" s="421"/>
      <c r="T51" s="421"/>
      <c r="U51" s="421"/>
      <c r="V51" s="421"/>
      <c r="W51" s="421"/>
      <c r="X51" s="421"/>
      <c r="Y51" s="421"/>
      <c r="Z51" s="421"/>
      <c r="AA51" s="421"/>
      <c r="AB51" s="421"/>
      <c r="AC51" s="421"/>
      <c r="AD51" s="421"/>
      <c r="AE51" s="421"/>
      <c r="AF51" s="421"/>
      <c r="AG51" s="421"/>
      <c r="AH51" s="421"/>
      <c r="AI51" s="421"/>
    </row>
    <row r="52" spans="1:35" x14ac:dyDescent="0.25">
      <c r="A52" s="421"/>
      <c r="C52" s="485"/>
      <c r="D52" s="3"/>
      <c r="E52" s="3"/>
      <c r="F52" s="3"/>
      <c r="G52" s="3"/>
      <c r="H52" s="3"/>
      <c r="I52" s="3"/>
      <c r="J52" s="3"/>
      <c r="K52" s="3"/>
      <c r="L52" s="3"/>
      <c r="M52" s="3"/>
      <c r="N52" s="3"/>
      <c r="O52" s="3"/>
      <c r="P52" s="3"/>
      <c r="Q52" s="486"/>
      <c r="S52" s="421"/>
      <c r="T52" s="421"/>
      <c r="U52" s="421"/>
      <c r="V52" s="421"/>
      <c r="W52" s="421"/>
      <c r="X52" s="421"/>
      <c r="Y52" s="421"/>
      <c r="Z52" s="421"/>
      <c r="AA52" s="421"/>
      <c r="AB52" s="421"/>
      <c r="AC52" s="421"/>
      <c r="AD52" s="421"/>
      <c r="AE52" s="421"/>
      <c r="AF52" s="421"/>
      <c r="AG52" s="421"/>
      <c r="AH52" s="421"/>
      <c r="AI52" s="421"/>
    </row>
    <row r="53" spans="1:35" x14ac:dyDescent="0.25">
      <c r="A53" s="421"/>
      <c r="C53" s="485"/>
      <c r="D53" s="3"/>
      <c r="E53" s="3"/>
      <c r="F53" s="3"/>
      <c r="G53" s="3"/>
      <c r="H53" s="3"/>
      <c r="I53" s="3"/>
      <c r="J53" s="3"/>
      <c r="K53" s="3"/>
      <c r="L53" s="3"/>
      <c r="M53" s="3"/>
      <c r="N53" s="3"/>
      <c r="O53" s="3"/>
      <c r="P53" s="3"/>
      <c r="Q53" s="486"/>
      <c r="S53" s="421"/>
      <c r="T53" s="421"/>
      <c r="U53" s="421"/>
      <c r="V53" s="421"/>
      <c r="W53" s="421"/>
      <c r="X53" s="421"/>
      <c r="Y53" s="421"/>
      <c r="Z53" s="421"/>
      <c r="AA53" s="421"/>
      <c r="AB53" s="421"/>
      <c r="AC53" s="421"/>
      <c r="AD53" s="421"/>
      <c r="AE53" s="421"/>
      <c r="AF53" s="421"/>
      <c r="AG53" s="421"/>
      <c r="AH53" s="421"/>
      <c r="AI53" s="421"/>
    </row>
    <row r="54" spans="1:35" x14ac:dyDescent="0.25">
      <c r="A54" s="421"/>
      <c r="C54" s="485"/>
      <c r="D54" s="3"/>
      <c r="E54" s="3"/>
      <c r="F54" s="3"/>
      <c r="G54" s="3"/>
      <c r="H54" s="3"/>
      <c r="I54" s="3"/>
      <c r="J54" s="3"/>
      <c r="K54" s="3"/>
      <c r="L54" s="3"/>
      <c r="M54" s="3"/>
      <c r="N54" s="3"/>
      <c r="O54" s="3"/>
      <c r="P54" s="3"/>
      <c r="Q54" s="486"/>
      <c r="S54" s="421"/>
      <c r="T54" s="421"/>
      <c r="U54" s="421"/>
      <c r="V54" s="421"/>
      <c r="W54" s="421"/>
      <c r="X54" s="421"/>
      <c r="Y54" s="421"/>
      <c r="Z54" s="421"/>
      <c r="AA54" s="421"/>
      <c r="AB54" s="421"/>
      <c r="AC54" s="421"/>
      <c r="AD54" s="421"/>
      <c r="AE54" s="421"/>
      <c r="AF54" s="421"/>
      <c r="AG54" s="421"/>
      <c r="AH54" s="421"/>
      <c r="AI54" s="421"/>
    </row>
    <row r="55" spans="1:35" x14ac:dyDescent="0.25">
      <c r="A55" s="421"/>
      <c r="C55" s="485"/>
      <c r="D55" s="3"/>
      <c r="E55" s="3"/>
      <c r="F55" s="3"/>
      <c r="G55" s="3"/>
      <c r="H55" s="3"/>
      <c r="I55" s="3"/>
      <c r="J55" s="3"/>
      <c r="K55" s="3"/>
      <c r="L55" s="3"/>
      <c r="M55" s="3"/>
      <c r="N55" s="3"/>
      <c r="O55" s="3"/>
      <c r="P55" s="3"/>
      <c r="Q55" s="486"/>
      <c r="S55" s="421"/>
      <c r="T55" s="421"/>
      <c r="U55" s="421"/>
      <c r="V55" s="421"/>
      <c r="W55" s="421"/>
      <c r="X55" s="421"/>
      <c r="Y55" s="421"/>
      <c r="Z55" s="421"/>
      <c r="AA55" s="421"/>
      <c r="AB55" s="421"/>
      <c r="AC55" s="421"/>
      <c r="AD55" s="421"/>
      <c r="AE55" s="421"/>
      <c r="AF55" s="421"/>
      <c r="AG55" s="421"/>
      <c r="AH55" s="421"/>
      <c r="AI55" s="421"/>
    </row>
    <row r="56" spans="1:35" x14ac:dyDescent="0.25">
      <c r="A56" s="421"/>
      <c r="C56" s="485"/>
      <c r="D56" s="3"/>
      <c r="E56" s="3"/>
      <c r="F56" s="3"/>
      <c r="G56" s="3"/>
      <c r="H56" s="3"/>
      <c r="I56" s="3"/>
      <c r="J56" s="3"/>
      <c r="K56" s="3"/>
      <c r="L56" s="3"/>
      <c r="M56" s="3"/>
      <c r="N56" s="3"/>
      <c r="O56" s="3"/>
      <c r="P56" s="3"/>
      <c r="Q56" s="486"/>
      <c r="S56" s="421"/>
      <c r="T56" s="421"/>
      <c r="U56" s="421"/>
      <c r="V56" s="421"/>
      <c r="W56" s="421"/>
      <c r="X56" s="421"/>
      <c r="Y56" s="421"/>
      <c r="Z56" s="421"/>
      <c r="AA56" s="421"/>
      <c r="AB56" s="421"/>
      <c r="AC56" s="421"/>
      <c r="AD56" s="421"/>
      <c r="AE56" s="421"/>
      <c r="AF56" s="421"/>
      <c r="AG56" s="421"/>
      <c r="AH56" s="421"/>
      <c r="AI56" s="421"/>
    </row>
    <row r="57" spans="1:35" x14ac:dyDescent="0.25">
      <c r="A57" s="421"/>
      <c r="C57" s="485"/>
      <c r="D57" s="3"/>
      <c r="E57" s="3"/>
      <c r="F57" s="3"/>
      <c r="G57" s="3"/>
      <c r="H57" s="3"/>
      <c r="I57" s="3"/>
      <c r="J57" s="3"/>
      <c r="K57" s="3"/>
      <c r="L57" s="3"/>
      <c r="M57" s="3"/>
      <c r="N57" s="3"/>
      <c r="O57" s="3"/>
      <c r="P57" s="3"/>
      <c r="Q57" s="486"/>
      <c r="S57" s="421"/>
      <c r="T57" s="421"/>
      <c r="U57" s="421"/>
      <c r="V57" s="421"/>
      <c r="W57" s="421"/>
      <c r="X57" s="421"/>
      <c r="Y57" s="421"/>
      <c r="Z57" s="421"/>
      <c r="AA57" s="421"/>
      <c r="AB57" s="421"/>
      <c r="AC57" s="421"/>
      <c r="AD57" s="421"/>
      <c r="AE57" s="421"/>
      <c r="AF57" s="421"/>
      <c r="AG57" s="421"/>
      <c r="AH57" s="421"/>
      <c r="AI57" s="421"/>
    </row>
    <row r="58" spans="1:35" x14ac:dyDescent="0.25">
      <c r="A58" s="421"/>
      <c r="C58" s="485"/>
      <c r="D58" s="3"/>
      <c r="E58" s="3"/>
      <c r="F58" s="3"/>
      <c r="G58" s="3"/>
      <c r="H58" s="3"/>
      <c r="I58" s="3"/>
      <c r="J58" s="3"/>
      <c r="K58" s="3"/>
      <c r="L58" s="3"/>
      <c r="M58" s="3"/>
      <c r="N58" s="3"/>
      <c r="O58" s="3"/>
      <c r="P58" s="3"/>
      <c r="Q58" s="486"/>
      <c r="S58" s="421"/>
      <c r="T58" s="421"/>
      <c r="U58" s="421"/>
      <c r="V58" s="421"/>
      <c r="W58" s="421"/>
      <c r="X58" s="421"/>
      <c r="Y58" s="421"/>
      <c r="Z58" s="421"/>
      <c r="AA58" s="421"/>
      <c r="AB58" s="421"/>
      <c r="AC58" s="421"/>
      <c r="AD58" s="421"/>
      <c r="AE58" s="421"/>
      <c r="AF58" s="421"/>
      <c r="AG58" s="421"/>
      <c r="AH58" s="421"/>
      <c r="AI58" s="421"/>
    </row>
    <row r="59" spans="1:35" ht="22.5" customHeight="1" thickBot="1" x14ac:dyDescent="0.3">
      <c r="A59" s="421"/>
      <c r="C59" s="487"/>
      <c r="D59" s="488"/>
      <c r="E59" s="488"/>
      <c r="F59" s="488"/>
      <c r="G59" s="488"/>
      <c r="H59" s="488"/>
      <c r="I59" s="488"/>
      <c r="J59" s="488"/>
      <c r="K59" s="488"/>
      <c r="L59" s="488"/>
      <c r="M59" s="488"/>
      <c r="N59" s="488"/>
      <c r="O59" s="488"/>
      <c r="P59" s="488"/>
      <c r="Q59" s="489"/>
      <c r="S59" s="421"/>
      <c r="T59" s="421"/>
      <c r="U59" s="421"/>
      <c r="V59" s="421"/>
      <c r="W59" s="421"/>
      <c r="X59" s="421"/>
      <c r="Y59" s="421"/>
      <c r="Z59" s="421"/>
      <c r="AA59" s="421"/>
      <c r="AB59" s="421"/>
      <c r="AC59" s="421"/>
      <c r="AD59" s="421"/>
      <c r="AE59" s="421"/>
      <c r="AF59" s="421"/>
      <c r="AG59" s="421"/>
      <c r="AH59" s="421"/>
      <c r="AI59" s="421"/>
    </row>
    <row r="60" spans="1:35" x14ac:dyDescent="0.25">
      <c r="A60" s="421"/>
      <c r="S60" s="421"/>
      <c r="T60" s="421"/>
      <c r="U60" s="421"/>
      <c r="V60" s="421"/>
      <c r="W60" s="421"/>
      <c r="X60" s="421"/>
      <c r="Y60" s="421"/>
      <c r="Z60" s="421"/>
      <c r="AA60" s="421"/>
      <c r="AB60" s="421"/>
      <c r="AC60" s="421"/>
      <c r="AD60" s="421"/>
      <c r="AE60" s="421"/>
      <c r="AF60" s="421"/>
      <c r="AG60" s="421"/>
      <c r="AH60" s="421"/>
      <c r="AI60" s="421"/>
    </row>
    <row r="61" spans="1:35" x14ac:dyDescent="0.25">
      <c r="A61" s="421"/>
      <c r="C61" s="561" t="str">
        <f>Basisdaten!C46</f>
        <v>Vorhabenbeschreibung 
4.1.10 a): Erstellung eines 
Fokuskonzeptes 2509_V3</v>
      </c>
      <c r="D61" s="561"/>
      <c r="E61" s="561"/>
      <c r="F61" s="561"/>
      <c r="G61" s="561"/>
      <c r="H61" s="561"/>
      <c r="I61" s="561"/>
      <c r="J61" s="561"/>
      <c r="K61" s="561"/>
      <c r="L61" s="561"/>
      <c r="M61" s="561"/>
      <c r="N61" s="561"/>
      <c r="O61" s="561"/>
      <c r="P61" s="561"/>
      <c r="Q61" s="561"/>
      <c r="S61" s="421"/>
      <c r="T61" s="421"/>
      <c r="U61" s="421"/>
      <c r="V61" s="421"/>
      <c r="W61" s="421"/>
      <c r="X61" s="421"/>
      <c r="Y61" s="421"/>
      <c r="Z61" s="421"/>
      <c r="AA61" s="421"/>
      <c r="AB61" s="421"/>
      <c r="AC61" s="421"/>
      <c r="AD61" s="421"/>
      <c r="AE61" s="421"/>
      <c r="AF61" s="421"/>
      <c r="AG61" s="421"/>
      <c r="AH61" s="421"/>
      <c r="AI61" s="421"/>
    </row>
    <row r="62" spans="1:35" x14ac:dyDescent="0.25">
      <c r="A62" s="421"/>
      <c r="B62" s="421"/>
      <c r="C62" s="421"/>
      <c r="D62" s="421"/>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c r="AD62" s="421"/>
      <c r="AE62" s="421"/>
      <c r="AF62" s="421"/>
      <c r="AG62" s="421"/>
      <c r="AH62" s="421"/>
      <c r="AI62" s="421"/>
    </row>
    <row r="63" spans="1:35" x14ac:dyDescent="0.25">
      <c r="A63" s="421"/>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1"/>
      <c r="AF63" s="421"/>
      <c r="AG63" s="421"/>
      <c r="AH63" s="421"/>
      <c r="AI63" s="421"/>
    </row>
    <row r="64" spans="1:35" x14ac:dyDescent="0.25">
      <c r="A64" s="421"/>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row>
    <row r="65" spans="1:35" x14ac:dyDescent="0.25">
      <c r="A65" s="421"/>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row>
    <row r="66" spans="1:35" x14ac:dyDescent="0.25">
      <c r="A66" s="421"/>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row>
    <row r="67" spans="1:35" x14ac:dyDescent="0.25">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row>
    <row r="68" spans="1:35" x14ac:dyDescent="0.25">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row>
    <row r="69" spans="1:35" x14ac:dyDescent="0.25">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c r="AI69" s="421"/>
    </row>
    <row r="70" spans="1:35" x14ac:dyDescent="0.25">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row>
    <row r="71" spans="1:35" x14ac:dyDescent="0.25">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row>
    <row r="72" spans="1:35" x14ac:dyDescent="0.25">
      <c r="A72" s="421"/>
      <c r="B72" s="421"/>
      <c r="C72" s="421"/>
      <c r="D72" s="421"/>
      <c r="E72" s="421"/>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row>
    <row r="73" spans="1:35" x14ac:dyDescent="0.25">
      <c r="A73" s="421"/>
      <c r="B73" s="421"/>
      <c r="C73" s="421"/>
      <c r="D73" s="42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row>
    <row r="74" spans="1:35" x14ac:dyDescent="0.25">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row>
    <row r="75" spans="1:35" x14ac:dyDescent="0.25">
      <c r="A75" s="421"/>
      <c r="B75" s="421"/>
      <c r="C75" s="421"/>
      <c r="D75" s="42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row>
    <row r="76" spans="1:35" x14ac:dyDescent="0.25">
      <c r="A76" s="421"/>
      <c r="B76" s="421"/>
      <c r="C76" s="421"/>
      <c r="D76" s="421"/>
      <c r="E76" s="421"/>
      <c r="F76" s="421"/>
      <c r="G76" s="421"/>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row>
    <row r="77" spans="1:35" x14ac:dyDescent="0.25">
      <c r="A77" s="421"/>
      <c r="B77" s="421"/>
      <c r="C77" s="421"/>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row>
    <row r="78" spans="1:35" x14ac:dyDescent="0.25">
      <c r="A78" s="421"/>
      <c r="B78" s="421"/>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row>
    <row r="79" spans="1:35" x14ac:dyDescent="0.25">
      <c r="A79" s="421"/>
      <c r="B79" s="421"/>
      <c r="C79" s="421"/>
      <c r="D79" s="421"/>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row>
    <row r="80" spans="1:35" x14ac:dyDescent="0.25">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row>
    <row r="81" spans="1:35" x14ac:dyDescent="0.25">
      <c r="A81" s="421"/>
      <c r="B81" s="421"/>
      <c r="C81" s="421"/>
      <c r="D81" s="421"/>
      <c r="E81" s="421"/>
      <c r="F81" s="421"/>
      <c r="G81" s="421"/>
      <c r="H81" s="421"/>
      <c r="I81" s="421"/>
      <c r="J81" s="421"/>
      <c r="K81" s="421"/>
      <c r="L81" s="421"/>
      <c r="M81" s="421"/>
      <c r="N81" s="421"/>
      <c r="O81" s="421"/>
      <c r="P81" s="421"/>
      <c r="Q81" s="421"/>
      <c r="R81" s="421"/>
      <c r="S81" s="421"/>
      <c r="T81" s="421"/>
      <c r="U81" s="421"/>
      <c r="V81" s="421"/>
      <c r="W81" s="421"/>
      <c r="X81" s="421"/>
      <c r="Y81" s="421"/>
      <c r="Z81" s="421"/>
      <c r="AA81" s="421"/>
      <c r="AB81" s="421"/>
      <c r="AC81" s="421"/>
      <c r="AD81" s="421"/>
      <c r="AE81" s="421"/>
      <c r="AF81" s="421"/>
      <c r="AG81" s="421"/>
      <c r="AH81" s="421"/>
      <c r="AI81" s="421"/>
    </row>
    <row r="82" spans="1:35" x14ac:dyDescent="0.25">
      <c r="A82" s="421"/>
      <c r="B82" s="421"/>
      <c r="C82" s="421"/>
      <c r="D82" s="421"/>
      <c r="E82" s="421"/>
      <c r="F82" s="421"/>
      <c r="G82" s="421"/>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1"/>
      <c r="AG82" s="421"/>
      <c r="AH82" s="421"/>
      <c r="AI82" s="421"/>
    </row>
    <row r="83" spans="1:35" x14ac:dyDescent="0.25">
      <c r="A83" s="421"/>
      <c r="B83" s="421"/>
      <c r="C83" s="421"/>
      <c r="D83" s="421"/>
      <c r="E83" s="421"/>
      <c r="F83" s="421"/>
      <c r="G83" s="421"/>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1"/>
      <c r="AG83" s="421"/>
      <c r="AH83" s="421"/>
      <c r="AI83" s="421"/>
    </row>
    <row r="84" spans="1:35" x14ac:dyDescent="0.25">
      <c r="A84" s="421"/>
      <c r="B84" s="421"/>
      <c r="C84" s="421"/>
      <c r="D84" s="421"/>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1"/>
      <c r="AG84" s="421"/>
      <c r="AH84" s="421"/>
      <c r="AI84" s="421"/>
    </row>
    <row r="85" spans="1:35" x14ac:dyDescent="0.25">
      <c r="A85" s="421"/>
      <c r="B85" s="421"/>
      <c r="C85" s="421"/>
      <c r="D85" s="421"/>
      <c r="E85" s="421"/>
      <c r="F85" s="421"/>
      <c r="G85" s="421"/>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21"/>
      <c r="AG85" s="421"/>
      <c r="AH85" s="421"/>
      <c r="AI85" s="421"/>
    </row>
    <row r="86" spans="1:35" x14ac:dyDescent="0.25">
      <c r="A86" s="421"/>
      <c r="B86" s="421"/>
      <c r="C86" s="421"/>
      <c r="D86" s="421"/>
      <c r="E86" s="421"/>
      <c r="F86" s="421"/>
      <c r="G86" s="421"/>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F86" s="421"/>
      <c r="AG86" s="421"/>
      <c r="AH86" s="421"/>
      <c r="AI86" s="421"/>
    </row>
    <row r="87" spans="1:35" x14ac:dyDescent="0.25">
      <c r="A87" s="421"/>
      <c r="B87" s="421"/>
      <c r="C87" s="421"/>
      <c r="D87" s="421"/>
      <c r="E87" s="421"/>
      <c r="F87" s="421"/>
      <c r="G87" s="421"/>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1"/>
      <c r="AG87" s="421"/>
      <c r="AH87" s="421"/>
      <c r="AI87" s="421"/>
    </row>
    <row r="88" spans="1:35" x14ac:dyDescent="0.25">
      <c r="A88" s="421"/>
      <c r="B88" s="421"/>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row>
    <row r="89" spans="1:35" x14ac:dyDescent="0.25">
      <c r="A89" s="421"/>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row>
    <row r="90" spans="1:35" x14ac:dyDescent="0.25">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row>
    <row r="91" spans="1:35" x14ac:dyDescent="0.25">
      <c r="A91" s="421"/>
      <c r="B91" s="421"/>
      <c r="C91" s="421"/>
      <c r="D91" s="421"/>
      <c r="E91" s="421"/>
      <c r="F91" s="421"/>
      <c r="G91" s="421"/>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row>
    <row r="92" spans="1:35" x14ac:dyDescent="0.25">
      <c r="A92" s="421"/>
      <c r="B92" s="421"/>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row>
    <row r="93" spans="1:35" x14ac:dyDescent="0.25">
      <c r="A93" s="421"/>
      <c r="B93" s="421"/>
      <c r="C93" s="421"/>
      <c r="D93" s="421"/>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row>
    <row r="94" spans="1:35" x14ac:dyDescent="0.25">
      <c r="A94" s="421"/>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row>
    <row r="95" spans="1:35" x14ac:dyDescent="0.25">
      <c r="A95" s="421"/>
      <c r="B95" s="421"/>
      <c r="C95" s="421"/>
      <c r="D95" s="421"/>
      <c r="E95" s="421"/>
      <c r="F95" s="421"/>
      <c r="G95" s="421"/>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row>
    <row r="96" spans="1:35" x14ac:dyDescent="0.25">
      <c r="A96" s="421"/>
      <c r="B96" s="421"/>
      <c r="C96" s="421"/>
      <c r="D96" s="421"/>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t="s">
        <v>219</v>
      </c>
      <c r="AD96" s="421"/>
      <c r="AE96" s="421"/>
      <c r="AF96" s="421"/>
      <c r="AG96" s="421"/>
      <c r="AH96" s="421"/>
      <c r="AI96" s="421"/>
    </row>
  </sheetData>
  <sheetProtection algorithmName="SHA-512" hashValue="Pm35wAA2pE47j1ggCv3t6FMnFsyPKWK9gS9KvrPi+gGxohTsriPjRicTR6F3uH8XMj04ItqawBxjKoGgwifmyg==" saltValue="VTt8vTudpHCK5B3wJW1HRw==" spinCount="100000" sheet="1" objects="1" scenarios="1"/>
  <mergeCells count="8">
    <mergeCell ref="C4:M4"/>
    <mergeCell ref="C5:M5"/>
    <mergeCell ref="C8:Q8"/>
    <mergeCell ref="C61:Q61"/>
    <mergeCell ref="C6:Q6"/>
    <mergeCell ref="C9:Q41"/>
    <mergeCell ref="U25:AI25"/>
    <mergeCell ref="U43:AI43"/>
  </mergeCells>
  <dataValidations count="1">
    <dataValidation type="textLength" operator="lessThan" allowBlank="1" showInputMessage="1" showErrorMessage="1" errorTitle="Achtung:" error="Maximale Textlänge überschritten" sqref="C44:Q59" xr:uid="{00000000-0002-0000-1200-000000000000}">
      <formula1>2100</formula1>
    </dataValidation>
  </dataValidations>
  <pageMargins left="0" right="0" top="0" bottom="0" header="0" footer="0"/>
  <pageSetup paperSize="9" scale="91" orientation="portrait" r:id="rId1"/>
  <extLst>
    <ext xmlns:x14="http://schemas.microsoft.com/office/spreadsheetml/2009/9/main" uri="{78C0D931-6437-407d-A8EE-F0AAD7539E65}">
      <x14:conditionalFormattings>
        <x14:conditionalFormatting xmlns:xm="http://schemas.microsoft.com/office/excel/2006/main">
          <x14:cfRule type="expression" priority="1" id="{C497F81F-FAA9-4AEE-BE55-7AA9DAE0CE02}">
            <xm:f>menu!$B$176=""</xm:f>
            <x14:dxf>
              <font>
                <color theme="0"/>
              </font>
              <fill>
                <patternFill>
                  <bgColor theme="0"/>
                </patternFill>
              </fill>
              <border>
                <left/>
                <right/>
                <top/>
                <bottom/>
                <vertical/>
                <horizontal/>
              </border>
            </x14:dxf>
          </x14:cfRule>
          <xm:sqref>C43:Q59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1">
    <tabColor theme="1"/>
  </sheetPr>
  <dimension ref="A1:AQ294"/>
  <sheetViews>
    <sheetView showGridLines="0" topLeftCell="U1" zoomScaleNormal="100" workbookViewId="0">
      <selection activeCell="AF11" sqref="AF11"/>
    </sheetView>
  </sheetViews>
  <sheetFormatPr baseColWidth="10" defaultRowHeight="14.5" x14ac:dyDescent="0.35"/>
  <cols>
    <col min="1" max="1" width="51.81640625" customWidth="1"/>
    <col min="2" max="2" width="34" customWidth="1"/>
    <col min="3" max="3" width="40.453125" customWidth="1"/>
    <col min="4" max="4" width="38" customWidth="1"/>
    <col min="5" max="5" width="16.54296875" customWidth="1"/>
    <col min="6" max="6" width="16.1796875" customWidth="1"/>
    <col min="7" max="7" width="18.54296875" customWidth="1"/>
    <col min="8" max="8" width="18.1796875" customWidth="1"/>
    <col min="9" max="9" width="19.54296875" customWidth="1"/>
    <col min="10" max="10" width="50.7265625" customWidth="1"/>
    <col min="11" max="11" width="14.81640625" customWidth="1"/>
    <col min="12" max="17" width="28.81640625" customWidth="1"/>
    <col min="18" max="18" width="30.54296875" customWidth="1"/>
    <col min="19" max="19" width="28.81640625" customWidth="1"/>
    <col min="20" max="20" width="24.81640625" customWidth="1"/>
  </cols>
  <sheetData>
    <row r="1" spans="1:43" x14ac:dyDescent="0.35">
      <c r="A1" t="s">
        <v>35</v>
      </c>
      <c r="B1" t="s">
        <v>39</v>
      </c>
      <c r="E1" t="s">
        <v>86</v>
      </c>
      <c r="F1" t="str">
        <f>IF(F46="ÜGR","ÜGR","")</f>
        <v/>
      </c>
      <c r="H1" t="s">
        <v>264</v>
      </c>
      <c r="I1" s="68">
        <f ca="1">TODAY()</f>
        <v>45981</v>
      </c>
      <c r="J1" t="str">
        <f ca="1">TEXT(I1,"TT.MM.JJJJ")</f>
        <v>20.11.2025</v>
      </c>
      <c r="O1" s="53"/>
      <c r="P1" s="22"/>
      <c r="Q1" s="25" t="s">
        <v>9</v>
      </c>
      <c r="R1" s="564" t="s">
        <v>34</v>
      </c>
      <c r="S1" s="565"/>
      <c r="T1" s="565"/>
      <c r="U1" s="565"/>
      <c r="V1" s="565"/>
      <c r="W1" s="565"/>
      <c r="X1" s="565"/>
      <c r="Y1" s="565"/>
      <c r="Z1" s="565"/>
      <c r="AA1" s="565"/>
      <c r="AB1" s="565"/>
      <c r="AC1" s="566"/>
      <c r="AF1" s="211" t="s">
        <v>377</v>
      </c>
      <c r="AK1" t="s">
        <v>387</v>
      </c>
    </row>
    <row r="2" spans="1:43" x14ac:dyDescent="0.35">
      <c r="A2" t="s">
        <v>68</v>
      </c>
      <c r="C2" s="2"/>
      <c r="E2" t="s">
        <v>97</v>
      </c>
      <c r="F2" t="str">
        <f>IF(G46="Integriertes Konzept","Int",IF(G46="Mobilitätskonzept","Mob",IF(G46="Wärmenutzungskonzept","Wärm",IF(G46="Teilkonzept",TK,""))))</f>
        <v>Int</v>
      </c>
      <c r="H2" t="b">
        <v>0</v>
      </c>
      <c r="X2" t="s">
        <v>152</v>
      </c>
      <c r="Y2" t="str">
        <f>IF(AND(COUNTIF(S4:S11,"Fehler")=0,Ausgabenübersicht!N17&gt;0,COUNTIF(S4:S11,"Anmerkung")=0),"Herzlichen Glückwunsch! Es wurden keine Fehler gefunden!","")</f>
        <v/>
      </c>
      <c r="AF2" t="s">
        <v>68</v>
      </c>
      <c r="AK2" t="s">
        <v>68</v>
      </c>
      <c r="AQ2" t="s">
        <v>178</v>
      </c>
    </row>
    <row r="3" spans="1:43" x14ac:dyDescent="0.35">
      <c r="A3" t="s">
        <v>36</v>
      </c>
      <c r="B3" s="2">
        <v>62</v>
      </c>
      <c r="C3" s="61">
        <v>25</v>
      </c>
      <c r="E3" t="s">
        <v>98</v>
      </c>
      <c r="F3" t="str">
        <f>IF(H46="Erstvorhaben","EV",IF(H46="Anschlussvorhaben","AV",""))</f>
        <v>EV</v>
      </c>
      <c r="H3" t="b">
        <v>0</v>
      </c>
      <c r="J3" s="18"/>
      <c r="K3" s="18"/>
      <c r="M3" t="str">
        <f>"Achtung: Das angegebende monatliche Gehalt der "&amp;Personal!C22&amp;" überschreitet die zuwendungsfähige monatliche Obergrenze!"</f>
        <v>Achtung: Das angegebende monatliche Gehalt der Personalstelle 1 überschreitet die zuwendungsfähige monatliche Obergrenze!</v>
      </c>
      <c r="R3" t="s">
        <v>572</v>
      </c>
      <c r="S3" t="s">
        <v>151</v>
      </c>
      <c r="T3" s="568" t="s">
        <v>121</v>
      </c>
      <c r="U3" s="568"/>
      <c r="V3" t="s">
        <v>148</v>
      </c>
      <c r="X3" t="str">
        <f>IF(COUNTIF(S4:S11,"Fehler")&gt;=1,"Achtung: In einem oder mehreren Tabellenblättern wurden unvollständige, oder fehlerhafte Angaben gemacht!","")</f>
        <v/>
      </c>
      <c r="Z3" t="s">
        <v>68</v>
      </c>
      <c r="AF3" t="s">
        <v>381</v>
      </c>
      <c r="AK3" t="s">
        <v>388</v>
      </c>
      <c r="AQ3" t="s">
        <v>560</v>
      </c>
    </row>
    <row r="4" spans="1:43" x14ac:dyDescent="0.35">
      <c r="A4" t="s">
        <v>37</v>
      </c>
      <c r="B4" s="2">
        <v>255</v>
      </c>
      <c r="C4" s="61">
        <v>50</v>
      </c>
      <c r="E4" t="s">
        <v>114</v>
      </c>
      <c r="H4">
        <v>0</v>
      </c>
      <c r="J4" s="18" t="s">
        <v>176</v>
      </c>
      <c r="K4" s="18"/>
      <c r="M4" t="str">
        <f>"Achtung: Das angegebende monatliche Gehalt der "&amp;RIGHT(Personal!C23,16)&amp;" überschreitet die zuwendungsfähige monatliche Obergrenze!"</f>
        <v>Achtung: Das angegebende monatliche Gehalt der Personalstelle 2 überschreitet die zuwendungsfähige monatliche Obergrenze!</v>
      </c>
      <c r="R4">
        <f t="shared" ref="R4:R12" si="0">COUNTIFS($A$257:$A$261,T4,$B$257:$B$261,"&gt;10")</f>
        <v>0</v>
      </c>
      <c r="S4" t="str">
        <f>IF(V4&gt;=1,"Fehler",IF(AND(V4&gt;0,V4&lt;1,R4=0),"Anmerkung",""))</f>
        <v/>
      </c>
      <c r="T4" t="s">
        <v>23</v>
      </c>
      <c r="U4" t="b">
        <v>1</v>
      </c>
      <c r="V4" s="158">
        <v>0</v>
      </c>
      <c r="X4" t="str">
        <f>IF(COUNTIF(S4:S11,"Anmerkung")&gt;0,"Bitte ergänzen Sie Ihre Angaben aus dem Tabellenblatt " &amp;VLOOKUP("Anmerkung",S4:T11,2,FALSE)&amp; " im Tabellenblatt 'Anmerkungen'","")</f>
        <v/>
      </c>
      <c r="Z4" t="s">
        <v>23</v>
      </c>
      <c r="AF4" t="s">
        <v>383</v>
      </c>
      <c r="AK4" t="s">
        <v>389</v>
      </c>
      <c r="AQ4" t="s">
        <v>604</v>
      </c>
    </row>
    <row r="5" spans="1:43" x14ac:dyDescent="0.35">
      <c r="A5" t="s">
        <v>38</v>
      </c>
      <c r="B5" s="2">
        <v>4395</v>
      </c>
      <c r="C5" s="61">
        <v>100</v>
      </c>
      <c r="J5" s="18"/>
      <c r="K5" s="18"/>
      <c r="M5" t="str">
        <f>"Achtung: Das angegebende monatliche Gehalt der "&amp;RIGHT(Personal!C24,16)&amp;" überschreitet die zuwendungsfähige monatliche Obergrenze!"</f>
        <v>Achtung: Das angegebende monatliche Gehalt der Personalstelle 3 überschreitet die zuwendungsfähige monatliche Obergrenze!</v>
      </c>
      <c r="R5">
        <f t="shared" si="0"/>
        <v>0</v>
      </c>
      <c r="S5" t="str">
        <f t="shared" ref="S5:S12" si="1">IF(V5&gt;=1,"Fehler",IF(AND(V5&gt;0,V5&lt;1,R5=0),"Anmerkung",""))</f>
        <v/>
      </c>
      <c r="T5" t="s">
        <v>149</v>
      </c>
      <c r="U5" t="b">
        <v>1</v>
      </c>
      <c r="V5" s="158">
        <f>SUM('weitere Sachausgaben'!O12:O50)</f>
        <v>0</v>
      </c>
      <c r="Z5" t="s">
        <v>228</v>
      </c>
      <c r="AF5" t="s">
        <v>379</v>
      </c>
      <c r="AK5" t="s">
        <v>390</v>
      </c>
      <c r="AQ5" t="s">
        <v>105</v>
      </c>
    </row>
    <row r="6" spans="1:43" x14ac:dyDescent="0.35">
      <c r="A6" t="b">
        <v>0</v>
      </c>
      <c r="J6" s="18"/>
      <c r="K6" s="18"/>
      <c r="M6" t="s">
        <v>145</v>
      </c>
      <c r="R6">
        <f t="shared" si="0"/>
        <v>0</v>
      </c>
      <c r="S6" t="str">
        <f t="shared" si="1"/>
        <v/>
      </c>
      <c r="T6" t="s">
        <v>91</v>
      </c>
      <c r="U6" t="b">
        <v>1</v>
      </c>
      <c r="V6" s="158">
        <f>SUM('Dienstreisen und Qualifizierung'!P10:P40)</f>
        <v>0</v>
      </c>
      <c r="Z6" t="s">
        <v>229</v>
      </c>
      <c r="AF6" t="s">
        <v>384</v>
      </c>
      <c r="AK6" t="s">
        <v>391</v>
      </c>
      <c r="AQ6" t="s">
        <v>179</v>
      </c>
    </row>
    <row r="7" spans="1:43" x14ac:dyDescent="0.35">
      <c r="J7" s="18"/>
      <c r="K7" s="18"/>
      <c r="M7" t="s">
        <v>146</v>
      </c>
      <c r="R7">
        <f t="shared" si="0"/>
        <v>0</v>
      </c>
      <c r="S7" t="str">
        <f t="shared" si="1"/>
        <v/>
      </c>
      <c r="T7" t="s">
        <v>669</v>
      </c>
      <c r="U7" t="b">
        <v>1</v>
      </c>
      <c r="V7" s="158">
        <f>IF(Ausgabenkalkulation!C7="",1,0)+Ausgabenkalkulation!M32</f>
        <v>0</v>
      </c>
      <c r="X7">
        <f>COUNTIF(S4:S12,"Fehler")</f>
        <v>0</v>
      </c>
      <c r="Z7" t="s">
        <v>313</v>
      </c>
      <c r="AF7" t="s">
        <v>380</v>
      </c>
    </row>
    <row r="8" spans="1:43" x14ac:dyDescent="0.35">
      <c r="A8" t="s">
        <v>14</v>
      </c>
      <c r="D8" t="s">
        <v>13</v>
      </c>
      <c r="H8" t="s">
        <v>46</v>
      </c>
      <c r="J8" s="18"/>
      <c r="K8" s="18"/>
      <c r="M8" t="s">
        <v>147</v>
      </c>
      <c r="R8">
        <f t="shared" si="0"/>
        <v>0</v>
      </c>
      <c r="S8" t="str">
        <f t="shared" si="1"/>
        <v/>
      </c>
      <c r="T8" t="s">
        <v>104</v>
      </c>
      <c r="U8" t="b">
        <v>1</v>
      </c>
      <c r="V8" s="158">
        <f>SUM(Konzeptfertigstellung!M11:M18)</f>
        <v>0</v>
      </c>
      <c r="Z8" t="s">
        <v>105</v>
      </c>
      <c r="AF8" t="s">
        <v>385</v>
      </c>
    </row>
    <row r="9" spans="1:43" x14ac:dyDescent="0.35">
      <c r="A9" t="s">
        <v>68</v>
      </c>
      <c r="D9" t="s">
        <v>68</v>
      </c>
      <c r="H9" t="s">
        <v>68</v>
      </c>
      <c r="J9" s="18"/>
      <c r="K9" s="18"/>
      <c r="M9" t="s">
        <v>219</v>
      </c>
      <c r="R9">
        <f t="shared" si="0"/>
        <v>0</v>
      </c>
      <c r="S9" t="str">
        <f t="shared" si="1"/>
        <v/>
      </c>
      <c r="T9" t="s">
        <v>106</v>
      </c>
      <c r="U9" t="b">
        <v>1</v>
      </c>
      <c r="V9" s="158">
        <f>SUM(Begl_Öffentlichkeitsarbeit!M14:M47)+Begl_Öffentlichkeitsarbeit!M42</f>
        <v>0</v>
      </c>
      <c r="Z9" t="s">
        <v>102</v>
      </c>
      <c r="AF9" t="s">
        <v>386</v>
      </c>
    </row>
    <row r="10" spans="1:43" x14ac:dyDescent="0.35">
      <c r="A10" t="s">
        <v>328</v>
      </c>
      <c r="D10" t="s">
        <v>351</v>
      </c>
      <c r="H10">
        <v>1</v>
      </c>
      <c r="J10" s="18"/>
      <c r="K10" s="18"/>
      <c r="R10">
        <f t="shared" si="0"/>
        <v>0</v>
      </c>
      <c r="S10" t="str">
        <f t="shared" si="1"/>
        <v/>
      </c>
      <c r="T10" t="s">
        <v>559</v>
      </c>
      <c r="U10" t="b">
        <v>1</v>
      </c>
      <c r="V10" s="158">
        <f>SUM(prof_Prozessunterstützung!J14,prof_Prozessunterstützung!M23)</f>
        <v>0</v>
      </c>
      <c r="Z10" t="s">
        <v>181</v>
      </c>
      <c r="AF10" t="s">
        <v>587</v>
      </c>
    </row>
    <row r="11" spans="1:43" x14ac:dyDescent="0.35">
      <c r="A11" t="s">
        <v>43</v>
      </c>
      <c r="D11" t="s">
        <v>222</v>
      </c>
      <c r="H11">
        <v>2</v>
      </c>
      <c r="J11" s="18"/>
      <c r="K11" s="18"/>
      <c r="R11">
        <f t="shared" si="0"/>
        <v>0</v>
      </c>
      <c r="S11" t="str">
        <f t="shared" si="1"/>
        <v/>
      </c>
      <c r="T11" t="s">
        <v>551</v>
      </c>
      <c r="U11" t="b">
        <v>1</v>
      </c>
      <c r="V11" s="158">
        <f>SUM(Ausgabenkalkulation!M9:M33)</f>
        <v>0</v>
      </c>
      <c r="Z11" t="s">
        <v>149</v>
      </c>
      <c r="AF11" t="s">
        <v>588</v>
      </c>
    </row>
    <row r="12" spans="1:43" x14ac:dyDescent="0.35">
      <c r="A12" t="s">
        <v>45</v>
      </c>
      <c r="D12" t="s">
        <v>262</v>
      </c>
      <c r="H12">
        <v>3</v>
      </c>
      <c r="J12" s="18"/>
      <c r="K12" s="18"/>
      <c r="R12">
        <f t="shared" si="0"/>
        <v>0</v>
      </c>
      <c r="S12" t="str">
        <f t="shared" si="1"/>
        <v/>
      </c>
      <c r="T12" t="s">
        <v>560</v>
      </c>
      <c r="U12" t="b">
        <f>TRUE</f>
        <v>1</v>
      </c>
      <c r="V12" s="158">
        <v>0</v>
      </c>
      <c r="Z12" t="s">
        <v>91</v>
      </c>
      <c r="AF12" t="s">
        <v>382</v>
      </c>
    </row>
    <row r="13" spans="1:43" x14ac:dyDescent="0.35">
      <c r="A13" t="s">
        <v>44</v>
      </c>
      <c r="H13">
        <v>4</v>
      </c>
      <c r="J13" s="18"/>
      <c r="K13" s="18"/>
      <c r="Z13" t="s">
        <v>440</v>
      </c>
    </row>
    <row r="14" spans="1:43" x14ac:dyDescent="0.35">
      <c r="H14">
        <v>5</v>
      </c>
      <c r="J14" s="18"/>
      <c r="K14" s="18"/>
      <c r="Z14" t="s">
        <v>104</v>
      </c>
    </row>
    <row r="15" spans="1:43" x14ac:dyDescent="0.35">
      <c r="J15" s="18"/>
      <c r="K15" s="18"/>
      <c r="Z15" t="s">
        <v>179</v>
      </c>
    </row>
    <row r="16" spans="1:43" x14ac:dyDescent="0.35">
      <c r="A16" t="s">
        <v>50</v>
      </c>
      <c r="B16" s="211" t="s">
        <v>200</v>
      </c>
      <c r="C16" s="18" t="s">
        <v>55</v>
      </c>
      <c r="D16" s="18" t="s">
        <v>56</v>
      </c>
      <c r="E16" s="18" t="s">
        <v>57</v>
      </c>
      <c r="F16" s="18" t="s">
        <v>198</v>
      </c>
      <c r="G16" s="18" t="s">
        <v>199</v>
      </c>
      <c r="J16" s="18"/>
      <c r="K16" s="18"/>
      <c r="N16" s="568" t="s">
        <v>169</v>
      </c>
      <c r="O16" s="568"/>
      <c r="Z16" t="s">
        <v>180</v>
      </c>
    </row>
    <row r="17" spans="1:17" ht="15" thickBot="1" x14ac:dyDescent="0.4">
      <c r="A17" t="s">
        <v>68</v>
      </c>
      <c r="B17" t="s">
        <v>0</v>
      </c>
      <c r="C17" s="18" t="str">
        <f>Personal!E22</f>
        <v>bitte auswählen</v>
      </c>
      <c r="D17" s="18" t="str">
        <f>Personal!E23</f>
        <v>bitte auswählen</v>
      </c>
      <c r="E17" s="18" t="str">
        <f>Personal!E24</f>
        <v>bitte auswählen</v>
      </c>
      <c r="F17" s="18" t="str">
        <f>Personal!E25</f>
        <v>bitte auswählen</v>
      </c>
      <c r="G17" s="18" t="str">
        <f>Personal!E26</f>
        <v>bitte auswählen</v>
      </c>
      <c r="K17" t="s">
        <v>65</v>
      </c>
      <c r="M17" t="s">
        <v>171</v>
      </c>
      <c r="N17" s="68">
        <v>43556</v>
      </c>
      <c r="O17" s="267">
        <v>44197</v>
      </c>
      <c r="Q17" t="s">
        <v>70</v>
      </c>
    </row>
    <row r="18" spans="1:17" x14ac:dyDescent="0.35">
      <c r="A18" t="s">
        <v>51</v>
      </c>
      <c r="B18" t="s">
        <v>190</v>
      </c>
      <c r="C18" s="18" t="str">
        <f>Personal!F22</f>
        <v>bitte auswählen</v>
      </c>
      <c r="D18" s="18" t="str">
        <f>Personal!F23</f>
        <v>bitte auswählen</v>
      </c>
      <c r="E18" s="18" t="str">
        <f>Personal!F24</f>
        <v>bitte auswählen</v>
      </c>
      <c r="F18" s="18" t="str">
        <f>Personal!F25</f>
        <v>bitte auswählen</v>
      </c>
      <c r="G18" s="18" t="str">
        <f>Personal!F26</f>
        <v>bitte auswählen</v>
      </c>
      <c r="I18" s="208">
        <f>SUM(C18:G18)+SUM(C24:G24)+SUM(C30:G30)</f>
        <v>0</v>
      </c>
      <c r="K18" t="s">
        <v>68</v>
      </c>
      <c r="N18" s="379" t="s">
        <v>51</v>
      </c>
      <c r="O18" s="261">
        <v>4368</v>
      </c>
      <c r="P18" s="262" t="s">
        <v>209</v>
      </c>
      <c r="Q18" t="s">
        <v>68</v>
      </c>
    </row>
    <row r="19" spans="1:17" x14ac:dyDescent="0.35">
      <c r="A19" t="s">
        <v>282</v>
      </c>
      <c r="B19" s="382" t="s">
        <v>243</v>
      </c>
      <c r="C19" s="18">
        <f>IF(C18=2,IF(C17="bitte auswählen",0,VLOOKUP(C17,$N$18:$O$23,2,FALSE)),7000)</f>
        <v>7000</v>
      </c>
      <c r="D19" s="18">
        <f t="shared" ref="D19:G19" si="2">IF(D18=2,IF(D17="bitte auswählen",0,VLOOKUP(D17,$N$18:$O$23,2,FALSE)),7000)</f>
        <v>7000</v>
      </c>
      <c r="E19" s="18">
        <f t="shared" si="2"/>
        <v>7000</v>
      </c>
      <c r="F19" s="18">
        <f t="shared" si="2"/>
        <v>7000</v>
      </c>
      <c r="G19" s="18">
        <f t="shared" si="2"/>
        <v>7000</v>
      </c>
      <c r="K19">
        <v>1</v>
      </c>
      <c r="M19" s="68">
        <v>43466</v>
      </c>
      <c r="N19" s="380" t="s">
        <v>282</v>
      </c>
      <c r="O19" s="263">
        <v>4708</v>
      </c>
      <c r="P19" s="264" t="s">
        <v>208</v>
      </c>
      <c r="Q19" t="s">
        <v>71</v>
      </c>
    </row>
    <row r="20" spans="1:17" x14ac:dyDescent="0.35">
      <c r="A20" t="s">
        <v>52</v>
      </c>
      <c r="B20" t="s">
        <v>140</v>
      </c>
      <c r="C20" s="18">
        <f>IF(C19&lt;Personal!H22,1,0)</f>
        <v>0</v>
      </c>
      <c r="D20" s="18">
        <f>IF(D19&lt;Personal!H23,1,0)</f>
        <v>0</v>
      </c>
      <c r="E20" s="18">
        <f>IF(E19&lt;Personal!H24,1,0)</f>
        <v>0</v>
      </c>
      <c r="F20" s="18">
        <f>IF(F19&lt;Personal!H25,1,0)</f>
        <v>0</v>
      </c>
      <c r="G20" s="18">
        <f>IF(G19&lt;Personal!H26,1,0)</f>
        <v>0</v>
      </c>
      <c r="I20" t="s">
        <v>170</v>
      </c>
      <c r="K20">
        <v>2</v>
      </c>
      <c r="M20" s="68">
        <v>43831</v>
      </c>
      <c r="N20" s="380" t="s">
        <v>52</v>
      </c>
      <c r="O20" s="263">
        <v>4924</v>
      </c>
      <c r="P20" s="264" t="s">
        <v>207</v>
      </c>
      <c r="Q20" t="s">
        <v>189</v>
      </c>
    </row>
    <row r="21" spans="1:17" x14ac:dyDescent="0.35">
      <c r="A21" t="s">
        <v>33</v>
      </c>
      <c r="B21" t="s">
        <v>141</v>
      </c>
      <c r="C21" s="18">
        <f>IF(O42&lt;Personal!L22,1,0)</f>
        <v>0</v>
      </c>
      <c r="D21" s="18">
        <f>IF(O43&lt;Personal!L23,1,0)</f>
        <v>0</v>
      </c>
      <c r="E21" s="18">
        <f>IF(O44&lt;Personal!L24,1,0)</f>
        <v>0</v>
      </c>
      <c r="F21" s="18">
        <f>IF(O45&lt;Personal!L25,1,0)</f>
        <v>0</v>
      </c>
      <c r="G21" s="18">
        <f>IF(O46&lt;Personal!L26,1,0)</f>
        <v>0</v>
      </c>
      <c r="I21" s="179">
        <f>IF(Personal!E10=menu!A125,2,1)</f>
        <v>1</v>
      </c>
      <c r="K21">
        <v>3</v>
      </c>
      <c r="M21" s="68">
        <v>44197</v>
      </c>
      <c r="N21" s="380" t="s">
        <v>33</v>
      </c>
      <c r="O21" s="263">
        <v>5189</v>
      </c>
      <c r="P21" s="264" t="s">
        <v>206</v>
      </c>
      <c r="Q21" t="s">
        <v>72</v>
      </c>
    </row>
    <row r="22" spans="1:17" x14ac:dyDescent="0.35">
      <c r="A22" t="s">
        <v>53</v>
      </c>
      <c r="C22" s="18"/>
      <c r="D22" s="18"/>
      <c r="E22" s="18"/>
      <c r="F22" s="18"/>
      <c r="G22" s="18"/>
      <c r="K22">
        <v>4</v>
      </c>
      <c r="M22" s="68">
        <v>44562</v>
      </c>
      <c r="N22" s="380" t="s">
        <v>53</v>
      </c>
      <c r="O22" s="263">
        <v>5395</v>
      </c>
      <c r="P22" s="264" t="s">
        <v>205</v>
      </c>
      <c r="Q22" t="s">
        <v>73</v>
      </c>
    </row>
    <row r="23" spans="1:17" ht="15" thickBot="1" x14ac:dyDescent="0.4">
      <c r="A23" t="s">
        <v>54</v>
      </c>
      <c r="B23" s="211" t="s">
        <v>223</v>
      </c>
      <c r="C23" s="18"/>
      <c r="D23" s="18"/>
      <c r="E23" s="18"/>
      <c r="F23" s="18"/>
      <c r="G23" s="18"/>
      <c r="K23">
        <v>5</v>
      </c>
      <c r="M23" s="68">
        <v>44927</v>
      </c>
      <c r="N23" s="381" t="s">
        <v>54</v>
      </c>
      <c r="O23" s="265">
        <v>5869</v>
      </c>
      <c r="P23" s="266" t="s">
        <v>204</v>
      </c>
      <c r="Q23" t="s">
        <v>74</v>
      </c>
    </row>
    <row r="24" spans="1:17" x14ac:dyDescent="0.35">
      <c r="C24" s="18"/>
      <c r="D24" s="18"/>
      <c r="E24" s="18"/>
      <c r="F24" s="18"/>
      <c r="G24" s="18"/>
      <c r="K24">
        <v>6</v>
      </c>
    </row>
    <row r="25" spans="1:17" x14ac:dyDescent="0.35">
      <c r="B25" s="382" t="s">
        <v>243</v>
      </c>
      <c r="C25" s="18">
        <f>C19</f>
        <v>7000</v>
      </c>
      <c r="D25" s="18">
        <f t="shared" ref="D25:G25" si="3">D19</f>
        <v>7000</v>
      </c>
      <c r="E25" s="18">
        <f t="shared" si="3"/>
        <v>7000</v>
      </c>
      <c r="F25" s="18">
        <f t="shared" si="3"/>
        <v>7000</v>
      </c>
      <c r="G25" s="18">
        <f t="shared" si="3"/>
        <v>7000</v>
      </c>
    </row>
    <row r="26" spans="1:17" x14ac:dyDescent="0.35">
      <c r="B26" t="s">
        <v>140</v>
      </c>
      <c r="C26" s="18">
        <f>IF(C25&lt;Personal!H29,1,0)</f>
        <v>0</v>
      </c>
      <c r="D26" s="18">
        <f>IF(D25&lt;Personal!H30,1,0)</f>
        <v>0</v>
      </c>
      <c r="E26" s="18">
        <f>IF(E25&lt;Personal!H31,1,0)</f>
        <v>0</v>
      </c>
      <c r="F26" s="18">
        <f>IF(F25&lt;Personal!H32,1,0)</f>
        <v>0</v>
      </c>
      <c r="G26" s="18">
        <f>IF(G25&lt;Personal!H33,1,0)</f>
        <v>0</v>
      </c>
    </row>
    <row r="27" spans="1:17" x14ac:dyDescent="0.35">
      <c r="B27" t="s">
        <v>141</v>
      </c>
      <c r="C27" s="18">
        <f>IF(P42&lt;Personal!L29,1,0)</f>
        <v>0</v>
      </c>
      <c r="D27" s="18">
        <f>IF(P43&lt;Personal!L30,1,0)</f>
        <v>0</v>
      </c>
      <c r="E27" s="18">
        <f>IF(P44&lt;Personal!L31,1,0)</f>
        <v>0</v>
      </c>
      <c r="F27" s="18">
        <f>IF(P45&lt;Personal!L32,1,0)</f>
        <v>0</v>
      </c>
      <c r="G27" s="18">
        <f>IF(P46&lt;Personal!L33,1,0)</f>
        <v>0</v>
      </c>
    </row>
    <row r="28" spans="1:17" x14ac:dyDescent="0.35">
      <c r="C28" s="18"/>
      <c r="D28" s="18"/>
      <c r="E28" s="18"/>
      <c r="F28" s="18"/>
      <c r="G28" s="18"/>
    </row>
    <row r="29" spans="1:17" x14ac:dyDescent="0.35">
      <c r="B29" s="211" t="s">
        <v>201</v>
      </c>
      <c r="C29" s="18"/>
      <c r="D29" s="18"/>
      <c r="E29" s="18"/>
      <c r="F29" s="18"/>
      <c r="G29" s="18"/>
    </row>
    <row r="30" spans="1:17" x14ac:dyDescent="0.35">
      <c r="B30" t="s">
        <v>190</v>
      </c>
      <c r="C30" s="18" t="str">
        <f>Personal!F36</f>
        <v>bitte auswählen</v>
      </c>
      <c r="D30" s="18" t="str">
        <f>Personal!F37</f>
        <v>bitte auswählen</v>
      </c>
      <c r="E30" s="18" t="str">
        <f>Personal!F38</f>
        <v>bitte auswählen</v>
      </c>
      <c r="F30" s="18" t="str">
        <f>Personal!F39</f>
        <v>bitte auswählen</v>
      </c>
      <c r="G30" s="18" t="str">
        <f>Personal!F40</f>
        <v>bitte auswählen</v>
      </c>
    </row>
    <row r="31" spans="1:17" x14ac:dyDescent="0.35">
      <c r="B31" s="382" t="s">
        <v>243</v>
      </c>
      <c r="C31" s="18"/>
      <c r="D31" s="18"/>
      <c r="E31" s="18"/>
      <c r="F31" s="18"/>
      <c r="G31" s="18"/>
    </row>
    <row r="32" spans="1:17" x14ac:dyDescent="0.35">
      <c r="B32" t="s">
        <v>140</v>
      </c>
      <c r="C32" s="18"/>
      <c r="D32" s="18"/>
      <c r="E32" s="18"/>
      <c r="F32" s="18"/>
      <c r="G32" s="18"/>
    </row>
    <row r="33" spans="1:20" x14ac:dyDescent="0.35">
      <c r="B33" t="s">
        <v>141</v>
      </c>
      <c r="C33" s="18"/>
      <c r="D33" s="18"/>
      <c r="E33" s="18"/>
      <c r="F33" s="18"/>
      <c r="G33" s="18"/>
    </row>
    <row r="35" spans="1:20" x14ac:dyDescent="0.35">
      <c r="L35" t="s">
        <v>194</v>
      </c>
    </row>
    <row r="36" spans="1:20" ht="15" thickBot="1" x14ac:dyDescent="0.4">
      <c r="A36" s="58" t="s">
        <v>59</v>
      </c>
      <c r="B36" s="58"/>
      <c r="C36" s="58"/>
      <c r="D36" s="58"/>
      <c r="E36" s="58"/>
      <c r="F36" s="58"/>
      <c r="G36" s="58"/>
      <c r="H36" s="58"/>
      <c r="I36" s="58"/>
      <c r="J36" s="58"/>
      <c r="K36" s="59"/>
      <c r="L36">
        <f>YEAR(Basisdaten!I36)</f>
        <v>1900</v>
      </c>
      <c r="N36" t="s">
        <v>115</v>
      </c>
      <c r="Q36" s="154" t="s">
        <v>123</v>
      </c>
      <c r="R36" s="146" t="s">
        <v>118</v>
      </c>
      <c r="S36" s="146" t="s">
        <v>119</v>
      </c>
    </row>
    <row r="37" spans="1:20" ht="15" thickBot="1" x14ac:dyDescent="0.4">
      <c r="A37" s="58" t="s">
        <v>82</v>
      </c>
      <c r="B37" s="58"/>
      <c r="C37" s="58"/>
      <c r="D37" s="58"/>
      <c r="E37" s="58"/>
      <c r="F37" s="58"/>
      <c r="G37" s="58"/>
      <c r="H37" s="58"/>
      <c r="I37" s="58"/>
      <c r="J37" s="58"/>
      <c r="K37" s="59"/>
      <c r="L37" t="s">
        <v>195</v>
      </c>
      <c r="N37" s="153" t="s">
        <v>117</v>
      </c>
      <c r="O37" s="154" t="s">
        <v>116</v>
      </c>
      <c r="P37" s="154" t="s">
        <v>120</v>
      </c>
      <c r="Q37" s="154" t="s">
        <v>68</v>
      </c>
      <c r="T37" s="155"/>
    </row>
    <row r="38" spans="1:20" ht="15" thickBot="1" x14ac:dyDescent="0.4">
      <c r="A38" s="58" t="s">
        <v>84</v>
      </c>
      <c r="B38" s="58"/>
      <c r="C38" s="58"/>
      <c r="D38" s="58"/>
      <c r="E38" s="58"/>
      <c r="F38" s="58"/>
      <c r="G38" s="58"/>
      <c r="H38" s="58"/>
      <c r="I38" s="58"/>
      <c r="J38" s="58"/>
      <c r="K38" s="59"/>
      <c r="L38" t="e">
        <f>YEAR(Basisdaten!L36)</f>
        <v>#VALUE!</v>
      </c>
      <c r="N38" s="146" t="s">
        <v>118</v>
      </c>
      <c r="O38" s="156">
        <v>0.6</v>
      </c>
      <c r="P38" s="156">
        <v>0.45</v>
      </c>
      <c r="Q38" t="s">
        <v>131</v>
      </c>
      <c r="R38" s="61">
        <f>$O$38</f>
        <v>0.6</v>
      </c>
      <c r="S38" s="61">
        <f>$O$39</f>
        <v>0.8</v>
      </c>
      <c r="T38" s="147"/>
    </row>
    <row r="39" spans="1:20" x14ac:dyDescent="0.35">
      <c r="A39" s="567" t="s">
        <v>81</v>
      </c>
      <c r="B39" s="567"/>
      <c r="C39" s="567"/>
      <c r="D39" s="567"/>
      <c r="E39" s="567"/>
      <c r="F39" s="567"/>
      <c r="G39" s="567"/>
      <c r="H39" s="567"/>
      <c r="I39" s="567"/>
      <c r="J39" s="567"/>
      <c r="L39" s="193" t="s">
        <v>196</v>
      </c>
      <c r="N39" s="146" t="s">
        <v>119</v>
      </c>
      <c r="O39" s="156">
        <v>0.8</v>
      </c>
      <c r="P39" s="156">
        <v>0.6</v>
      </c>
      <c r="Q39" t="s">
        <v>132</v>
      </c>
      <c r="R39" s="61">
        <f>$O$38</f>
        <v>0.6</v>
      </c>
      <c r="S39" s="61">
        <f>$O$39</f>
        <v>0.8</v>
      </c>
      <c r="T39" s="147"/>
    </row>
    <row r="40" spans="1:20" ht="15" thickBot="1" x14ac:dyDescent="0.4">
      <c r="A40" s="58" t="s">
        <v>83</v>
      </c>
      <c r="B40" s="58"/>
      <c r="C40" s="58"/>
      <c r="D40" s="58"/>
      <c r="E40" s="58"/>
      <c r="F40" s="58"/>
      <c r="G40" s="58"/>
      <c r="H40" s="58"/>
      <c r="I40" s="58"/>
      <c r="J40" s="58"/>
      <c r="L40" s="194" t="e">
        <f>MONTH(DATE(YEAR(Personal!E8)+1,12,1))-MONTH(Personal!E8)+1</f>
        <v>#VALUE!</v>
      </c>
      <c r="N40" s="146"/>
      <c r="Q40" t="s">
        <v>134</v>
      </c>
      <c r="R40" s="61">
        <f>$O$38</f>
        <v>0.6</v>
      </c>
      <c r="S40" s="61">
        <f>$O$39</f>
        <v>0.8</v>
      </c>
      <c r="T40" s="147"/>
    </row>
    <row r="41" spans="1:20" ht="15" thickBot="1" x14ac:dyDescent="0.4">
      <c r="A41" s="58" t="s">
        <v>86</v>
      </c>
      <c r="N41" s="153"/>
      <c r="O41" s="154" t="s">
        <v>501</v>
      </c>
      <c r="P41" s="154" t="s">
        <v>502</v>
      </c>
      <c r="Q41" t="s">
        <v>135</v>
      </c>
      <c r="R41" s="61">
        <f>$P$38</f>
        <v>0.45</v>
      </c>
      <c r="S41" s="61">
        <f>$P$39</f>
        <v>0.6</v>
      </c>
      <c r="T41" s="147"/>
    </row>
    <row r="42" spans="1:20" x14ac:dyDescent="0.35">
      <c r="A42" s="58" t="s">
        <v>87</v>
      </c>
      <c r="B42" t="b">
        <v>0</v>
      </c>
      <c r="H42" s="68">
        <v>43465</v>
      </c>
      <c r="I42" t="str">
        <f>IF(Basisdaten!Y25&lt;menu!H42,"vor","nach")</f>
        <v>vor</v>
      </c>
      <c r="J42" t="s">
        <v>283</v>
      </c>
      <c r="L42" t="s">
        <v>197</v>
      </c>
      <c r="N42" s="146" t="s">
        <v>3</v>
      </c>
      <c r="O42">
        <f>(Personal!H22*VLOOKUP(Personal!E18,menu!Q37:S53,IF(O48=1,3,2),FALSE))/12</f>
        <v>0</v>
      </c>
      <c r="P42" s="147">
        <f>(Personal!H29*VLOOKUP(Personal!$E$18,menu!$Q$37:$S$53,IF(O48=1,3,2),FALSE))/12</f>
        <v>0</v>
      </c>
      <c r="Q42" t="s">
        <v>127</v>
      </c>
      <c r="R42" s="61">
        <f>$O$38</f>
        <v>0.6</v>
      </c>
      <c r="S42" s="61">
        <f>$O$39</f>
        <v>0.8</v>
      </c>
      <c r="T42" s="147"/>
    </row>
    <row r="43" spans="1:20" x14ac:dyDescent="0.35">
      <c r="A43" s="58" t="s">
        <v>88</v>
      </c>
      <c r="B43" t="b">
        <v>0</v>
      </c>
      <c r="H43" s="563"/>
      <c r="I43" s="563"/>
      <c r="J43" s="270" t="str">
        <f>IF(menu!F46="ÜGR",IF(AND(menu!G46="Integriertes Konzept",menu!H46="Erstvorhaben"),"ÜGR_Int_Erst",IF(AND(menu!G46="Integriertes Konzept",menu!H46="Anschlussvorhaben"),"ÜGR_Int_Anschl",IF(AND(menu!G46="Teilkonzept",menu!H46="Erstvorhaben"),"ÜGR_TK_Erst",IF(AND(menu!G46="Teilkonzept",menu!H46="Anschlussvorhaben"),"ÜGR_TK_Anschl")))),IF(menu!H46="Anschlussvorhaben","Neu_Anschl","Neu_Erst"))</f>
        <v>Neu_Erst</v>
      </c>
      <c r="L43" s="68" t="e">
        <f>DATE(Personal!E50,1,1)</f>
        <v>#VALUE!</v>
      </c>
      <c r="N43" s="146" t="s">
        <v>142</v>
      </c>
      <c r="O43">
        <f>(Personal!H23*VLOOKUP(Personal!E18,menu!Q37:S53,IF(O49=1,3,2),FALSE))/12</f>
        <v>0</v>
      </c>
      <c r="P43" s="147">
        <f>(Personal!H30*VLOOKUP(Personal!$E$18,menu!$Q$37:$S$53,IF(O49=1,3,2),FALSE))/12</f>
        <v>0</v>
      </c>
      <c r="Q43" t="s">
        <v>125</v>
      </c>
      <c r="R43" s="61">
        <f>$O$38</f>
        <v>0.6</v>
      </c>
      <c r="S43" s="61">
        <f>$O$39</f>
        <v>0.8</v>
      </c>
      <c r="T43" s="147"/>
    </row>
    <row r="44" spans="1:20" ht="15" thickBot="1" x14ac:dyDescent="0.4">
      <c r="A44" s="58" t="s">
        <v>220</v>
      </c>
      <c r="B44" t="b">
        <v>0</v>
      </c>
      <c r="L44" s="68" t="e">
        <f>DATE(Personal!F50,1,1)</f>
        <v>#VALUE!</v>
      </c>
      <c r="N44" s="148" t="s">
        <v>143</v>
      </c>
      <c r="O44" s="149">
        <f>(Personal!H24*VLOOKUP(Personal!$E$18,menu!$Q$37:$S$53,IF(O50=1,3,2),FALSE))/12</f>
        <v>0</v>
      </c>
      <c r="P44" s="147">
        <f>(Personal!H31*VLOOKUP(Personal!$E$18,menu!$Q$37:$S$53,IF(O50=1,3,2),FALSE))/12</f>
        <v>0</v>
      </c>
      <c r="Q44" t="s">
        <v>129</v>
      </c>
      <c r="R44" s="61">
        <f>$O$38</f>
        <v>0.6</v>
      </c>
      <c r="S44" s="61">
        <f>$O$39</f>
        <v>0.8</v>
      </c>
      <c r="T44" s="147"/>
    </row>
    <row r="45" spans="1:20" x14ac:dyDescent="0.35">
      <c r="A45" s="58" t="s">
        <v>421</v>
      </c>
      <c r="B45" t="b">
        <v>0</v>
      </c>
      <c r="F45" s="271" t="s">
        <v>260</v>
      </c>
      <c r="G45" s="272" t="s">
        <v>259</v>
      </c>
      <c r="H45" s="273" t="s">
        <v>227</v>
      </c>
      <c r="I45" t="s">
        <v>424</v>
      </c>
      <c r="J45" t="s">
        <v>233</v>
      </c>
      <c r="L45" s="68" t="e">
        <f>DATE(Personal!G50,1,1)</f>
        <v>#VALUE!</v>
      </c>
      <c r="N45" s="148" t="s">
        <v>202</v>
      </c>
      <c r="O45" s="149">
        <f>(Personal!H25*VLOOKUP(Personal!$E$18,menu!$Q$37:$S$53,IF(O51=1,3,2),FALSE))/12</f>
        <v>0</v>
      </c>
      <c r="P45" s="147">
        <f>(Personal!H32*VLOOKUP(Personal!$E$18,menu!$Q$37:$S$53,IF(O51=1,3,2),FALSE))/12</f>
        <v>0</v>
      </c>
      <c r="Q45" t="s">
        <v>136</v>
      </c>
      <c r="R45" s="61">
        <f>$P$38</f>
        <v>0.45</v>
      </c>
      <c r="S45" s="61">
        <f>$P$39</f>
        <v>0.6</v>
      </c>
      <c r="T45" s="147"/>
    </row>
    <row r="46" spans="1:20" ht="15" thickBot="1" x14ac:dyDescent="0.4">
      <c r="A46" s="58" t="s">
        <v>422</v>
      </c>
      <c r="B46" t="b">
        <v>0</v>
      </c>
      <c r="F46" s="274"/>
      <c r="G46" s="275" t="s">
        <v>230</v>
      </c>
      <c r="H46" s="276" t="s">
        <v>231</v>
      </c>
      <c r="L46" s="68" t="e">
        <f>DATE(Personal!H50,1,1)</f>
        <v>#VALUE!</v>
      </c>
      <c r="N46" s="148" t="s">
        <v>203</v>
      </c>
      <c r="O46" s="149">
        <f>(Personal!H26*VLOOKUP(Personal!$E$18,menu!$Q$37:$S$53,IF(O52=1,3,2),FALSE))/12</f>
        <v>0</v>
      </c>
      <c r="P46" s="147">
        <f>(Personal!H33*VLOOKUP(Personal!$E$18,menu!$Q$37:$S$53,IF(O52=1,3,2),FALSE))/12</f>
        <v>0</v>
      </c>
      <c r="Q46" t="s">
        <v>126</v>
      </c>
      <c r="R46" s="61">
        <f>$O$38</f>
        <v>0.6</v>
      </c>
      <c r="S46" s="61">
        <f>$O$39</f>
        <v>0.8</v>
      </c>
      <c r="T46" s="147"/>
    </row>
    <row r="47" spans="1:20" x14ac:dyDescent="0.35">
      <c r="A47" t="s">
        <v>102</v>
      </c>
      <c r="E47" t="s">
        <v>232</v>
      </c>
      <c r="G47" s="224"/>
      <c r="H47" s="224"/>
      <c r="I47" s="224">
        <v>1</v>
      </c>
      <c r="J47" s="224">
        <f>(I47*12)-1</f>
        <v>11</v>
      </c>
      <c r="L47" s="68" t="e">
        <f>DATE(Personal!H50+1,1,1)</f>
        <v>#VALUE!</v>
      </c>
      <c r="N47" s="146" t="s">
        <v>144</v>
      </c>
      <c r="Q47" t="s">
        <v>128</v>
      </c>
      <c r="R47" s="61">
        <f>$O$38</f>
        <v>0.6</v>
      </c>
      <c r="S47" s="61">
        <f>$O$39</f>
        <v>0.8</v>
      </c>
      <c r="T47" s="147"/>
    </row>
    <row r="48" spans="1:20" x14ac:dyDescent="0.35">
      <c r="A48" t="s">
        <v>86</v>
      </c>
      <c r="E48" t="s">
        <v>261</v>
      </c>
      <c r="F48" s="568"/>
      <c r="G48" s="568"/>
      <c r="H48" s="568"/>
      <c r="I48" s="568"/>
      <c r="J48" s="568"/>
      <c r="N48" s="145" t="s">
        <v>3</v>
      </c>
      <c r="O48">
        <f>IF(OR(Personal!E22=menu!A18,Personal!E22=menu!A19,Personal!E22=menu!A20,Personal!E22=menu!A21,Personal!E22=menu!A22),1,2)</f>
        <v>2</v>
      </c>
      <c r="Q48" t="s">
        <v>130</v>
      </c>
      <c r="R48" s="61">
        <f>$O$38</f>
        <v>0.6</v>
      </c>
      <c r="S48" s="61">
        <f>$O$39</f>
        <v>0.8</v>
      </c>
      <c r="T48" s="147"/>
    </row>
    <row r="49" spans="1:26" x14ac:dyDescent="0.35">
      <c r="A49" t="s">
        <v>103</v>
      </c>
      <c r="B49" t="b">
        <v>0</v>
      </c>
      <c r="E49" t="s">
        <v>263</v>
      </c>
      <c r="F49">
        <f>IF(H46=A103,65,40)</f>
        <v>40</v>
      </c>
      <c r="G49">
        <f>IF(H46=A103,90,55)</f>
        <v>55</v>
      </c>
      <c r="N49" s="146" t="s">
        <v>142</v>
      </c>
      <c r="O49">
        <f>IF(OR(Personal!E23=menu!A18,Personal!E23=menu!A19,Personal!E23=menu!A20,Personal!E23=menu!A21,Personal!E23=menu!A22),1,2)</f>
        <v>2</v>
      </c>
      <c r="Q49" t="s">
        <v>133</v>
      </c>
      <c r="R49" s="61">
        <f>$O$38</f>
        <v>0.6</v>
      </c>
      <c r="S49" s="61">
        <f>$O$39</f>
        <v>0.8</v>
      </c>
      <c r="T49" s="147"/>
    </row>
    <row r="50" spans="1:26" x14ac:dyDescent="0.35">
      <c r="A50" t="s">
        <v>106</v>
      </c>
      <c r="H50" t="s">
        <v>287</v>
      </c>
      <c r="I50">
        <f>I47*5</f>
        <v>5</v>
      </c>
      <c r="N50" s="148" t="s">
        <v>143</v>
      </c>
      <c r="O50">
        <f>IF(OR(Personal!E24=menu!A18,Personal!E24=menu!A19,Personal!E24=menu!A20,Personal!E24=menu!A21,Personal!E24=menu!A22),1,2)</f>
        <v>2</v>
      </c>
      <c r="Q50" t="s">
        <v>137</v>
      </c>
      <c r="R50" s="61">
        <f>$P$38</f>
        <v>0.45</v>
      </c>
      <c r="S50" s="61">
        <f>$P$39</f>
        <v>0.6</v>
      </c>
      <c r="T50" s="147"/>
    </row>
    <row r="51" spans="1:26" x14ac:dyDescent="0.35">
      <c r="A51" t="s">
        <v>107</v>
      </c>
      <c r="B51" t="b">
        <v>0</v>
      </c>
      <c r="E51" t="s">
        <v>467</v>
      </c>
      <c r="N51" s="148" t="s">
        <v>202</v>
      </c>
      <c r="O51">
        <f>IF(OR(Personal!E25=menu!A18,Personal!E25=menu!A19,Personal!E25=menu!A20,Personal!E25=menu!A21,Personal!E25=menu!A22),1,2)</f>
        <v>2</v>
      </c>
      <c r="Q51" t="s">
        <v>138</v>
      </c>
      <c r="R51" s="61">
        <f>$P$38</f>
        <v>0.45</v>
      </c>
      <c r="S51" s="61">
        <f>$P$39</f>
        <v>0.6</v>
      </c>
      <c r="T51" s="147"/>
    </row>
    <row r="52" spans="1:26" x14ac:dyDescent="0.35">
      <c r="A52" t="s">
        <v>109</v>
      </c>
      <c r="N52" s="148" t="s">
        <v>203</v>
      </c>
      <c r="O52">
        <f>IF(OR(Personal!E26=menu!A18,Personal!E26=menu!A19,Personal!E26=menu!A20,Personal!E26=menu!A21,Personal!E26=menu!A22),1,2)</f>
        <v>2</v>
      </c>
      <c r="Q52" t="s">
        <v>124</v>
      </c>
      <c r="R52" s="61">
        <f>$O$38</f>
        <v>0.6</v>
      </c>
      <c r="S52" s="61">
        <f>$O$39</f>
        <v>0.8</v>
      </c>
      <c r="T52" s="147"/>
    </row>
    <row r="53" spans="1:26" x14ac:dyDescent="0.35">
      <c r="A53" t="s">
        <v>110</v>
      </c>
      <c r="B53" t="b">
        <v>0</v>
      </c>
      <c r="F53" s="145" t="s">
        <v>474</v>
      </c>
      <c r="G53" s="362">
        <f>Basisdaten!I36</f>
        <v>0</v>
      </c>
      <c r="H53" s="362">
        <f>DATE(YEAR(G53)+1,MONTH(1),DAY(1))</f>
        <v>367</v>
      </c>
      <c r="I53" s="362" t="str">
        <f>IF(I47&lt;=1,IF(Basisdaten!I36=0,"",IF(DAY(Basisdaten!I36)=1,EOMONTH(Basisdaten!I36,menu!J47),EDATE(Basisdaten!I36,((menu!J47+1))))),DATE(YEAR(H53)+1,MONTH(H53),DAY(H53)))</f>
        <v/>
      </c>
      <c r="J53" s="362" t="str">
        <f>IF(I47&lt;=2,IF(Basisdaten!I36=0,"",IF(DAY(Basisdaten!I36)=1,EOMONTH(Basisdaten!I36,menu!J47),EDATE(Basisdaten!I36,((menu!J47+1))))),DATE(YEAR(I53)+1,MONTH(I53),DAY(I53)))</f>
        <v/>
      </c>
      <c r="K53" s="362">
        <f>IF(Basisdaten!I36=0,1900,IF(Basisdaten!I36=1,EOMONTH(Basisdaten!I36,menu!J47),EDATE(Basisdaten!I36,((menu!J47+1)))))</f>
        <v>1900</v>
      </c>
      <c r="N53" s="148"/>
      <c r="O53" s="149"/>
      <c r="P53" s="149"/>
      <c r="Q53" s="149" t="s">
        <v>139</v>
      </c>
      <c r="R53" s="61">
        <f>$P$38</f>
        <v>0.45</v>
      </c>
      <c r="S53" s="61">
        <f>$P$39</f>
        <v>0.6</v>
      </c>
      <c r="T53" s="150"/>
    </row>
    <row r="54" spans="1:26" x14ac:dyDescent="0.35">
      <c r="A54" t="s">
        <v>111</v>
      </c>
      <c r="F54" s="146" t="s">
        <v>476</v>
      </c>
      <c r="G54">
        <f>DATEDIF(G53,H53,"D")</f>
        <v>367</v>
      </c>
      <c r="H54" t="e">
        <f>DATEDIF(H53,I53,"D")</f>
        <v>#VALUE!</v>
      </c>
      <c r="I54" t="e">
        <f>DATEDIF(I53,J53,"D")</f>
        <v>#VALUE!</v>
      </c>
      <c r="J54">
        <f>IF(J53&lt;K53,DATEDIF(J53,K53,"D"),0)</f>
        <v>0</v>
      </c>
      <c r="Z54" t="s">
        <v>68</v>
      </c>
    </row>
    <row r="55" spans="1:26" x14ac:dyDescent="0.35">
      <c r="A55" t="s">
        <v>112</v>
      </c>
      <c r="B55" t="b">
        <v>0</v>
      </c>
      <c r="F55" s="146" t="s">
        <v>475</v>
      </c>
      <c r="G55">
        <f>IF(DAY(G53)=1,ROUND(G54/30.436875,0),ROUND(G54/30.436875,3))</f>
        <v>12.058</v>
      </c>
      <c r="H55" t="e">
        <f>IF(DAY(G53)=1,ROUND(H54/30.436875,0),ROUND(H54/30.436875,3))</f>
        <v>#VALUE!</v>
      </c>
      <c r="I55" t="e">
        <f>IF(DAY(G53)=1,ROUND(I54/30.436875,0),ROUND(I54/30.436875,3))</f>
        <v>#VALUE!</v>
      </c>
      <c r="J55">
        <f>IF(DAY(G53)=1,ROUND(J54/30.436875,0),ROUND(J54/30.436875,3))</f>
        <v>0</v>
      </c>
      <c r="K55" s="363" t="e">
        <f>ROUND(SUM(G55:J55),2)</f>
        <v>#VALUE!</v>
      </c>
      <c r="L55" t="s">
        <v>477</v>
      </c>
      <c r="Z55" t="str">
        <f ca="1">MID(CELL("dateiname",Basisdaten!A1),SEARCH("]",CELL("dateiname",Basisdaten!A1))+1,31)</f>
        <v>Basisdaten</v>
      </c>
    </row>
    <row r="56" spans="1:26" x14ac:dyDescent="0.35">
      <c r="F56" s="146"/>
      <c r="N56" s="257" t="s">
        <v>303</v>
      </c>
      <c r="Z56" t="str">
        <f ca="1">MID(CELL("dateiname",AntragstellerIn!A1),SEARCH("]",CELL("dateiname",AntragstellerIn!A1))+1,31)</f>
        <v>AntragstellerIn</v>
      </c>
    </row>
    <row r="57" spans="1:26" x14ac:dyDescent="0.35">
      <c r="B57" t="b">
        <v>0</v>
      </c>
      <c r="F57" s="146"/>
      <c r="J57" s="147"/>
      <c r="N57" s="213" t="s">
        <v>68</v>
      </c>
      <c r="Z57" t="str">
        <f ca="1">MID(CELL("dateiname",'Inhalte und Handlungsfelder'!A1),SEARCH("]",CELL("dateiname",'Inhalte und Handlungsfelder'!A1))+1,31)</f>
        <v>Inhalte und Handlungsfelder</v>
      </c>
    </row>
    <row r="58" spans="1:26" x14ac:dyDescent="0.35">
      <c r="B58" t="b">
        <v>0</v>
      </c>
      <c r="F58" s="146"/>
      <c r="J58" s="147"/>
      <c r="N58" s="213" t="s">
        <v>304</v>
      </c>
      <c r="Z58" t="str">
        <f ca="1">MID(CELL("dateiname",Personal!A1),SEARCH("]",CELL("dateiname",Personal!A1))+1,31)</f>
        <v>Personal</v>
      </c>
    </row>
    <row r="59" spans="1:26" x14ac:dyDescent="0.35">
      <c r="A59" s="177" t="s">
        <v>157</v>
      </c>
      <c r="B59" s="178"/>
      <c r="F59" s="148"/>
      <c r="G59" s="149"/>
      <c r="H59" s="149"/>
      <c r="I59" s="149"/>
      <c r="J59" s="150"/>
      <c r="N59" t="s">
        <v>305</v>
      </c>
      <c r="O59" t="s">
        <v>306</v>
      </c>
      <c r="Z59" t="e">
        <f ca="1">MID(CELL("dateiname",#REF!),SEARCH("]",CELL("dateiname",#REF!))+1,31)</f>
        <v>#REF!</v>
      </c>
    </row>
    <row r="60" spans="1:26" x14ac:dyDescent="0.35">
      <c r="A60" s="178" t="s">
        <v>68</v>
      </c>
      <c r="B60" s="178"/>
      <c r="N60" t="s">
        <v>307</v>
      </c>
      <c r="O60" t="s">
        <v>308</v>
      </c>
      <c r="Z60" t="e">
        <f ca="1">MID(CELL("dateiname",#REF!),SEARCH("]",CELL("dateiname",#REF!))+1,31)</f>
        <v>#REF!</v>
      </c>
    </row>
    <row r="61" spans="1:26" x14ac:dyDescent="0.35">
      <c r="A61" s="178" t="s">
        <v>158</v>
      </c>
      <c r="B61" s="178"/>
      <c r="N61" t="s">
        <v>310</v>
      </c>
      <c r="O61" t="s">
        <v>309</v>
      </c>
      <c r="Z61" t="e">
        <f ca="1">MID(CELL("dateiname",#REF!),SEARCH("]",CELL("dateiname",#REF!))+1,31)</f>
        <v>#REF!</v>
      </c>
    </row>
    <row r="62" spans="1:26" x14ac:dyDescent="0.35">
      <c r="A62" s="178" t="s">
        <v>159</v>
      </c>
      <c r="B62" s="178"/>
      <c r="N62" t="s">
        <v>74</v>
      </c>
      <c r="O62" t="s">
        <v>311</v>
      </c>
      <c r="Z62" t="str">
        <f ca="1">MID(CELL("dateiname",Begl_Öffentlichkeitsarbeit!A1),SEARCH("]",CELL("dateiname",Begl_Öffentlichkeitsarbeit!A1))+1,31)</f>
        <v>Begl_Öffentlichkeitsarbeit</v>
      </c>
    </row>
    <row r="63" spans="1:26" x14ac:dyDescent="0.35">
      <c r="A63" s="178" t="s">
        <v>172</v>
      </c>
      <c r="B63" s="178"/>
      <c r="Z63" t="str">
        <f ca="1">MID(CELL("dateiname",Akteursbeteiligung!A1),SEARCH("]",CELL("dateiname",Akteursbeteiligung!A1))+1,31)</f>
        <v>Akteursbeteiligung</v>
      </c>
    </row>
    <row r="64" spans="1:26" x14ac:dyDescent="0.35">
      <c r="A64" s="178" t="s">
        <v>160</v>
      </c>
      <c r="B64" s="178"/>
      <c r="Z64" t="str">
        <f ca="1">MID(CELL("dateiname",prof_Prozessunterstützung!A1),SEARCH("]",CELL("dateiname",prof_Prozessunterstützung!A1))+1,31)</f>
        <v>prof_Prozessunterstützung</v>
      </c>
    </row>
    <row r="65" spans="1:26" x14ac:dyDescent="0.35">
      <c r="A65" s="178" t="s">
        <v>161</v>
      </c>
      <c r="B65" s="178"/>
      <c r="Z65" t="str">
        <f ca="1">MID(CELL("dateiname",'weitere Sachausgaben'!A1),SEARCH("]",CELL("dateiname",'weitere Sachausgaben'!A1))+1,31)</f>
        <v>weitere Sachausgaben</v>
      </c>
    </row>
    <row r="66" spans="1:26" x14ac:dyDescent="0.35">
      <c r="A66" s="178" t="s">
        <v>162</v>
      </c>
      <c r="B66" s="178"/>
      <c r="Z66" t="str">
        <f ca="1">MID(CELL("dateiname",'Dienstreisen und Qualifizierung'!A1),SEARCH("]",CELL("dateiname",'Dienstreisen und Qualifizierung'!A1))+1,31)</f>
        <v>Dienstreisen und Qualifizierung</v>
      </c>
    </row>
    <row r="67" spans="1:26" x14ac:dyDescent="0.35">
      <c r="A67" s="178" t="s">
        <v>163</v>
      </c>
      <c r="B67" s="178"/>
      <c r="Z67" t="str">
        <f ca="1">MID(CELL("dateiname",Ausgabenkalkulation!A1),SEARCH("]",CELL("dateiname",Ausgabenkalkulation!A1))+1,31)</f>
        <v>Ausgabenkalkulation</v>
      </c>
    </row>
    <row r="68" spans="1:26" x14ac:dyDescent="0.35">
      <c r="A68" s="178" t="s">
        <v>164</v>
      </c>
      <c r="B68" s="178"/>
      <c r="Z68" t="str">
        <f ca="1">MID(CELL("dateiname",Konzeptfertigstellung!A1),SEARCH("]",CELL("dateiname",Konzeptfertigstellung!A1))+1,31)</f>
        <v>Konzeptfertigstellung</v>
      </c>
    </row>
    <row r="69" spans="1:26" x14ac:dyDescent="0.35">
      <c r="A69" s="178" t="s">
        <v>165</v>
      </c>
      <c r="B69" s="178"/>
      <c r="Z69" t="str">
        <f ca="1">MID(CELL("dateiname",Ausgabenübersicht!A1),SEARCH("]",CELL("dateiname",Ausgabenübersicht!A1))+1,31)</f>
        <v>Ausgabenübersicht</v>
      </c>
    </row>
    <row r="70" spans="1:26" x14ac:dyDescent="0.35">
      <c r="A70" s="178" t="s">
        <v>166</v>
      </c>
      <c r="B70" s="178"/>
      <c r="Z70" t="str">
        <f ca="1">MID(CELL("dateiname",Anmerkungen!A1),SEARCH("]",CELL("dateiname",Anmerkungen!A1))+1,31)</f>
        <v>Anmerkungen</v>
      </c>
    </row>
    <row r="71" spans="1:26" x14ac:dyDescent="0.35">
      <c r="A71" s="178" t="s">
        <v>167</v>
      </c>
      <c r="B71" s="178"/>
    </row>
    <row r="72" spans="1:26" x14ac:dyDescent="0.35">
      <c r="A72" s="178" t="s">
        <v>168</v>
      </c>
      <c r="B72" s="178"/>
    </row>
    <row r="73" spans="1:26" x14ac:dyDescent="0.35">
      <c r="A73" s="183" t="s">
        <v>175</v>
      </c>
    </row>
    <row r="76" spans="1:26" x14ac:dyDescent="0.35">
      <c r="A76" s="178" t="s">
        <v>68</v>
      </c>
    </row>
    <row r="77" spans="1:26" x14ac:dyDescent="0.35">
      <c r="A77" t="s">
        <v>174</v>
      </c>
    </row>
    <row r="78" spans="1:26" x14ac:dyDescent="0.35">
      <c r="A78" t="s">
        <v>173</v>
      </c>
    </row>
    <row r="81" spans="1:4" x14ac:dyDescent="0.35">
      <c r="A81" t="s">
        <v>68</v>
      </c>
    </row>
    <row r="82" spans="1:4" x14ac:dyDescent="0.35">
      <c r="A82" t="s">
        <v>217</v>
      </c>
    </row>
    <row r="83" spans="1:4" x14ac:dyDescent="0.35">
      <c r="A83" t="s">
        <v>218</v>
      </c>
    </row>
    <row r="86" spans="1:4" x14ac:dyDescent="0.35">
      <c r="B86" t="s">
        <v>279</v>
      </c>
      <c r="C86" t="b">
        <v>0</v>
      </c>
    </row>
    <row r="87" spans="1:4" x14ac:dyDescent="0.35">
      <c r="A87" t="s">
        <v>68</v>
      </c>
    </row>
    <row r="88" spans="1:4" x14ac:dyDescent="0.35">
      <c r="A88" t="s">
        <v>547</v>
      </c>
    </row>
    <row r="89" spans="1:4" x14ac:dyDescent="0.35">
      <c r="A89" t="s">
        <v>544</v>
      </c>
    </row>
    <row r="90" spans="1:4" x14ac:dyDescent="0.35">
      <c r="A90" t="s">
        <v>545</v>
      </c>
    </row>
    <row r="91" spans="1:4" x14ac:dyDescent="0.35">
      <c r="A91" t="s">
        <v>546</v>
      </c>
    </row>
    <row r="93" spans="1:4" x14ac:dyDescent="0.35">
      <c r="B93" s="563" t="s">
        <v>225</v>
      </c>
      <c r="C93" s="563"/>
      <c r="D93">
        <f ca="1">SUMIF('Dienstreisen und Qualifizierung'!C10:E25,"Fachveranstaltung / Infoveranstaltung",'Dienstreisen und Qualifizierung'!G10:G25)+SUMIF('Dienstreisen und Qualifizierung'!C10:E25,"Netzwerktreffen",'Dienstreisen und Qualifizierung'!G10:G25)</f>
        <v>0</v>
      </c>
    </row>
    <row r="97" spans="1:6" x14ac:dyDescent="0.35">
      <c r="A97" t="s">
        <v>68</v>
      </c>
    </row>
    <row r="98" spans="1:6" x14ac:dyDescent="0.35">
      <c r="A98" t="s">
        <v>230</v>
      </c>
    </row>
    <row r="99" spans="1:6" x14ac:dyDescent="0.35">
      <c r="A99" t="s">
        <v>589</v>
      </c>
    </row>
    <row r="102" spans="1:6" x14ac:dyDescent="0.35">
      <c r="A102" t="s">
        <v>68</v>
      </c>
    </row>
    <row r="103" spans="1:6" x14ac:dyDescent="0.35">
      <c r="A103" t="s">
        <v>599</v>
      </c>
    </row>
    <row r="104" spans="1:6" x14ac:dyDescent="0.35">
      <c r="A104" t="s">
        <v>600</v>
      </c>
      <c r="B104" s="58" t="s">
        <v>651</v>
      </c>
    </row>
    <row r="105" spans="1:6" x14ac:dyDescent="0.35">
      <c r="A105" t="s">
        <v>601</v>
      </c>
      <c r="F105">
        <f>I47</f>
        <v>1</v>
      </c>
    </row>
    <row r="107" spans="1:6" x14ac:dyDescent="0.35">
      <c r="A107" s="211" t="s">
        <v>234</v>
      </c>
    </row>
    <row r="108" spans="1:6" x14ac:dyDescent="0.35">
      <c r="A108" t="s">
        <v>235</v>
      </c>
      <c r="B108" s="18" t="s">
        <v>236</v>
      </c>
      <c r="C108" t="s">
        <v>237</v>
      </c>
    </row>
    <row r="109" spans="1:6" x14ac:dyDescent="0.35">
      <c r="A109" s="212" t="s">
        <v>238</v>
      </c>
      <c r="B109" s="213">
        <v>39</v>
      </c>
      <c r="C109" t="s">
        <v>239</v>
      </c>
    </row>
    <row r="110" spans="1:6" x14ac:dyDescent="0.35">
      <c r="A110" t="s">
        <v>240</v>
      </c>
      <c r="B110" s="213">
        <v>19</v>
      </c>
      <c r="C110" t="s">
        <v>241</v>
      </c>
    </row>
    <row r="111" spans="1:6" x14ac:dyDescent="0.35">
      <c r="A111" t="s">
        <v>242</v>
      </c>
      <c r="B111" s="214">
        <v>220</v>
      </c>
      <c r="C111" t="s">
        <v>241</v>
      </c>
    </row>
    <row r="112" spans="1:6" x14ac:dyDescent="0.35">
      <c r="D112" s="211" t="s">
        <v>243</v>
      </c>
      <c r="E112" s="211" t="s">
        <v>244</v>
      </c>
    </row>
    <row r="113" spans="1:10" x14ac:dyDescent="0.35">
      <c r="A113" t="s">
        <v>245</v>
      </c>
      <c r="B113" t="s">
        <v>426</v>
      </c>
      <c r="C113" t="s">
        <v>425</v>
      </c>
      <c r="D113" t="s">
        <v>246</v>
      </c>
      <c r="E113" t="s">
        <v>246</v>
      </c>
      <c r="F113" t="s">
        <v>427</v>
      </c>
      <c r="G113" t="s">
        <v>435</v>
      </c>
      <c r="H113" t="s">
        <v>436</v>
      </c>
    </row>
    <row r="114" spans="1:10" x14ac:dyDescent="0.35">
      <c r="B114">
        <f>IF(I47&gt;2,SUM(Personal!G22:G26,Personal!G29:G33,Personal!G36:G40),SUM(Personal!G22:G26,Personal!G29:G33))</f>
        <v>0</v>
      </c>
      <c r="C114">
        <f>IF(I47=FALSE,1,((B114/B109)/I47))</f>
        <v>0</v>
      </c>
      <c r="D114" s="339">
        <f>(C114*B111)</f>
        <v>0</v>
      </c>
      <c r="E114" s="211">
        <f>ROUND((D114-(D114/100*15)),0)</f>
        <v>0</v>
      </c>
      <c r="F114" s="179">
        <f>D114*I47</f>
        <v>0</v>
      </c>
      <c r="G114">
        <f>F114+(F114/100)*5</f>
        <v>0</v>
      </c>
      <c r="H114">
        <f>F114-(F114/100)*5</f>
        <v>0</v>
      </c>
    </row>
    <row r="116" spans="1:10" x14ac:dyDescent="0.35">
      <c r="C116" t="s">
        <v>247</v>
      </c>
    </row>
    <row r="117" spans="1:10" x14ac:dyDescent="0.35">
      <c r="B117" t="s">
        <v>248</v>
      </c>
      <c r="C117" t="str">
        <f>Personal!E50</f>
        <v>Projektjahr 1</v>
      </c>
      <c r="D117" t="str">
        <f>Personal!F50</f>
        <v>Projektjahr 2</v>
      </c>
      <c r="E117" t="str">
        <f>Personal!G50</f>
        <v>Projektjahr 3</v>
      </c>
      <c r="F117" t="str">
        <f>Personal!H50</f>
        <v>Projektjahr 4</v>
      </c>
      <c r="I117" t="s">
        <v>252</v>
      </c>
      <c r="J117" t="str">
        <f>"Achtung: Die Anzahl der für das Jahr " &amp;C117&amp;" angegebenen Personentage wirkt recht hoch. Bitte erläutern Sie Ihre Angaben im Tabellenblatt 'Anmerkungen'."</f>
        <v>Achtung: Die Anzahl der für das Jahr Projektjahr 1 angegebenen Personentage wirkt recht hoch. Bitte erläutern Sie Ihre Angaben im Tabellenblatt 'Anmerkungen'.</v>
      </c>
    </row>
    <row r="118" spans="1:10" x14ac:dyDescent="0.35">
      <c r="B118" t="s">
        <v>249</v>
      </c>
      <c r="C118">
        <f>Personal!E51</f>
        <v>0</v>
      </c>
      <c r="D118">
        <f>Personal!F51</f>
        <v>0</v>
      </c>
      <c r="E118">
        <f>Personal!G51</f>
        <v>0</v>
      </c>
      <c r="F118">
        <f>Personal!H51</f>
        <v>0</v>
      </c>
      <c r="J118" t="str">
        <f>"Achtung: Die Anzahl der für das Jahr " &amp;C117&amp;" angegebenen Personentage wirkt zu niedrig. Bitte erläutern Sie Ihre Angaben im Tabellenblatt 'Anmerkungen'."</f>
        <v>Achtung: Die Anzahl der für das Jahr Projektjahr 1 angegebenen Personentage wirkt zu niedrig. Bitte erläutern Sie Ihre Angaben im Tabellenblatt 'Anmerkungen'.</v>
      </c>
    </row>
    <row r="119" spans="1:10" x14ac:dyDescent="0.35">
      <c r="B119" t="s">
        <v>250</v>
      </c>
      <c r="C119">
        <f>ROUND(($D$114/12)*C118,0)</f>
        <v>0</v>
      </c>
      <c r="D119">
        <f>ROUND(($D$114/12)*D118,0)</f>
        <v>0</v>
      </c>
      <c r="E119">
        <f>ROUND(($D$114/12)*E118,0)</f>
        <v>0</v>
      </c>
      <c r="F119">
        <f>ROUND(($D$114/12)*F118,0)</f>
        <v>0</v>
      </c>
      <c r="J119" t="str">
        <f>"Achtung: Die Anzahl der für das Jahr " &amp;D117&amp;" angegebenen Personentage wirkt recht hoch. Bitte erläutern Sie Ihre Angaben im Tabellenblatt 'Anmerkungen'."</f>
        <v>Achtung: Die Anzahl der für das Jahr Projektjahr 2 angegebenen Personentage wirkt recht hoch. Bitte erläutern Sie Ihre Angaben im Tabellenblatt 'Anmerkungen'.</v>
      </c>
    </row>
    <row r="120" spans="1:10" x14ac:dyDescent="0.35">
      <c r="B120" t="s">
        <v>423</v>
      </c>
      <c r="C120">
        <f>($E$114/12)*C118</f>
        <v>0</v>
      </c>
      <c r="D120">
        <f>($E$114/12)*D118</f>
        <v>0</v>
      </c>
      <c r="E120">
        <f>($E$114/12)*E118</f>
        <v>0</v>
      </c>
      <c r="F120">
        <f>($E$114/12)*F118</f>
        <v>0</v>
      </c>
      <c r="J120" t="str">
        <f>"Achtung: Die Anzahl der für das Jahr " &amp;D117&amp;" angegebenen Personentage wirkt zu niedrig. Bitte erläutern Sie Ihre Angaben im Tabellenblatt 'Anmerkungen'."</f>
        <v>Achtung: Die Anzahl der für das Jahr Projektjahr 2 angegebenen Personentage wirkt zu niedrig. Bitte erläutern Sie Ihre Angaben im Tabellenblatt 'Anmerkungen'.</v>
      </c>
    </row>
    <row r="121" spans="1:10" x14ac:dyDescent="0.35">
      <c r="B121" t="s">
        <v>251</v>
      </c>
      <c r="C121" t="e">
        <f>SUM(#REF!,#REF!,#REF!,#REF!)</f>
        <v>#REF!</v>
      </c>
      <c r="D121" t="e">
        <f>SUM(#REF!,#REF!,#REF!,#REF!)</f>
        <v>#REF!</v>
      </c>
      <c r="E121" t="e">
        <f>SUM(#REF!,#REF!,#REF!,#REF!)</f>
        <v>#REF!</v>
      </c>
      <c r="F121" t="e">
        <f>SUM(#REF!,#REF!,#REF!,#REF!)</f>
        <v>#REF!</v>
      </c>
      <c r="J121" t="str">
        <f>"Achtung: Die Anzahl der für das Jahr " &amp;E117&amp;" angegebenen Personentage wirkt recht hoch. Bitte erläutern Sie Ihre Angaben im Tabellenblatt 'Anmerkungen'."</f>
        <v>Achtung: Die Anzahl der für das Jahr Projektjahr 3 angegebenen Personentage wirkt recht hoch. Bitte erläutern Sie Ihre Angaben im Tabellenblatt 'Anmerkungen'.</v>
      </c>
    </row>
    <row r="122" spans="1:10" x14ac:dyDescent="0.35">
      <c r="C122" s="563" t="e">
        <f>IF(Basisdaten!#REF!="Nein",J125,IF(SUM(C121:F121)=0,"",IF(C121&gt;C119,J117,IF(C121&lt;C120,J118,IF(D121&gt;D119,J119,IF(D121&lt;D120,J120,IF(E121&gt;E119,J121,IF(E121&lt;E120,J122,IF(F121&gt;F119,J123,IF(F121&lt;F120,J124,IF(AND(F46="ÜGR",H46="Anschlussvorhaben"),J130,"")))))))))))</f>
        <v>#REF!</v>
      </c>
      <c r="D122" s="563"/>
      <c r="E122" s="563"/>
      <c r="F122" s="563"/>
      <c r="G122" s="563"/>
      <c r="H122" s="563"/>
      <c r="I122" s="563"/>
      <c r="J122" t="str">
        <f>"Achtung: Die Anzahl der für das Jahr " &amp;E117&amp;" angegebenen Personentage wirkt zu niedrig. Bitte erläutern Sie Ihre Angaben im Tabellenblatt 'Anmerkungen'."</f>
        <v>Achtung: Die Anzahl der für das Jahr Projektjahr 3 angegebenen Personentage wirkt zu niedrig. Bitte erläutern Sie Ihre Angaben im Tabellenblatt 'Anmerkungen'.</v>
      </c>
    </row>
    <row r="123" spans="1:10" x14ac:dyDescent="0.35">
      <c r="A123" t="s">
        <v>68</v>
      </c>
      <c r="J123" t="str">
        <f>"Achtung: Die Anzahl der für das Jahr " &amp;F117&amp;" angegebenen Personentage wirkt recht hoch. Bitte erläutern Sie Ihre Angaben im Tabellenblatt 'Anmerkungen'."</f>
        <v>Achtung: Die Anzahl der für das Jahr Projektjahr 4 angegebenen Personentage wirkt recht hoch. Bitte erläutern Sie Ihre Angaben im Tabellenblatt 'Anmerkungen'.</v>
      </c>
    </row>
    <row r="124" spans="1:10" x14ac:dyDescent="0.35">
      <c r="A124" t="s">
        <v>465</v>
      </c>
      <c r="J124" t="str">
        <f>"Achtung: Die Anzahl der für das Jahr " &amp;F117&amp;" angegebenen Personentage wirkt zu niedrig. Bitte erläutern Sie Ihre Angaben im Tabellenblatt 'Anmerkungen'."</f>
        <v>Achtung: Die Anzahl der für das Jahr Projektjahr 4 angegebenen Personentage wirkt zu niedrig. Bitte erläutern Sie Ihre Angaben im Tabellenblatt 'Anmerkungen'.</v>
      </c>
    </row>
    <row r="125" spans="1:10" x14ac:dyDescent="0.35">
      <c r="A125" t="s">
        <v>466</v>
      </c>
      <c r="J125" t="s">
        <v>324</v>
      </c>
    </row>
    <row r="126" spans="1:10" x14ac:dyDescent="0.35">
      <c r="J126" t="s">
        <v>323</v>
      </c>
    </row>
    <row r="127" spans="1:10" x14ac:dyDescent="0.35">
      <c r="A127" s="571" t="s">
        <v>256</v>
      </c>
      <c r="B127" s="572"/>
      <c r="C127" s="572"/>
      <c r="D127" s="572"/>
      <c r="E127" s="572"/>
      <c r="F127" s="573"/>
      <c r="J127" t="s">
        <v>322</v>
      </c>
    </row>
    <row r="128" spans="1:10" x14ac:dyDescent="0.35">
      <c r="C128" t="s">
        <v>29</v>
      </c>
      <c r="D128" t="s">
        <v>254</v>
      </c>
      <c r="E128" t="s">
        <v>255</v>
      </c>
      <c r="F128" t="s">
        <v>345</v>
      </c>
      <c r="G128" t="s">
        <v>344</v>
      </c>
      <c r="H128" t="s">
        <v>346</v>
      </c>
      <c r="I128" t="s">
        <v>347</v>
      </c>
      <c r="J128" t="s">
        <v>321</v>
      </c>
    </row>
    <row r="129" spans="1:12" ht="15" customHeight="1" x14ac:dyDescent="0.35">
      <c r="A129" s="146">
        <v>1</v>
      </c>
      <c r="B129" t="str">
        <f>'Dienstreisen und Qualifizierung'!C10</f>
        <v>bitte auswählen</v>
      </c>
      <c r="C129" t="str">
        <f>'Dienstreisen und Qualifizierung'!G10</f>
        <v>bitte auswählen</v>
      </c>
      <c r="D129">
        <f>'Dienstreisen und Qualifizierung'!H10</f>
        <v>0</v>
      </c>
      <c r="E129">
        <f>IF(C129="bitte auswählen",0,C129*D129)</f>
        <v>0</v>
      </c>
      <c r="F129" s="147">
        <f>IF(B129=$A$12,E129,0)</f>
        <v>0</v>
      </c>
      <c r="G129" s="147">
        <f>IF(B129=$A$10,E129,0)</f>
        <v>0</v>
      </c>
      <c r="H129" s="147">
        <f>IF(B129=$A$11,E129,0)</f>
        <v>0</v>
      </c>
      <c r="I129" s="147">
        <f>IF(B129=$A$13,E129,0)</f>
        <v>0</v>
      </c>
      <c r="J129" t="str">
        <f>IF(F46="ÜGR","Anschlussvorhaben (Übergangsregelung)","Anschlussvorhaben")</f>
        <v>Anschlussvorhaben</v>
      </c>
    </row>
    <row r="130" spans="1:12" ht="15" customHeight="1" x14ac:dyDescent="0.35">
      <c r="A130" s="146">
        <v>2</v>
      </c>
      <c r="B130" t="str">
        <f>'Dienstreisen und Qualifizierung'!C11</f>
        <v>bitte auswählen</v>
      </c>
      <c r="C130" t="str">
        <f>'Dienstreisen und Qualifizierung'!G11</f>
        <v>bitte auswählen</v>
      </c>
      <c r="D130">
        <f>'Dienstreisen und Qualifizierung'!H11</f>
        <v>0</v>
      </c>
      <c r="E130">
        <f t="shared" ref="E130:E144" si="4">IF(C130="bitte auswählen",0,C130*D130)</f>
        <v>0</v>
      </c>
      <c r="F130" s="147">
        <f t="shared" ref="F130:F144" si="5">IF(B130=$A$12,E130,0)</f>
        <v>0</v>
      </c>
      <c r="G130" s="147">
        <f t="shared" ref="G130:G144" si="6">IF(B130=$A$10,E130,0)</f>
        <v>0</v>
      </c>
      <c r="H130" s="147">
        <f t="shared" ref="H130:H144" si="7">IF(B130=$A$11,E130,0)</f>
        <v>0</v>
      </c>
      <c r="I130" s="147">
        <f t="shared" ref="I130:I144" si="8">IF(B130=$A$13,E130,0)</f>
        <v>0</v>
      </c>
      <c r="J130" t="s">
        <v>526</v>
      </c>
    </row>
    <row r="131" spans="1:12" ht="15" customHeight="1" x14ac:dyDescent="0.35">
      <c r="A131" s="146">
        <v>3</v>
      </c>
      <c r="B131" t="str">
        <f>'Dienstreisen und Qualifizierung'!C12</f>
        <v>bitte auswählen</v>
      </c>
      <c r="C131" t="str">
        <f>'Dienstreisen und Qualifizierung'!G12</f>
        <v>bitte auswählen</v>
      </c>
      <c r="D131">
        <f>'Dienstreisen und Qualifizierung'!H12</f>
        <v>0</v>
      </c>
      <c r="E131">
        <f t="shared" si="4"/>
        <v>0</v>
      </c>
      <c r="F131" s="147">
        <f t="shared" si="5"/>
        <v>0</v>
      </c>
      <c r="G131" s="147">
        <f t="shared" si="6"/>
        <v>0</v>
      </c>
      <c r="H131" s="147">
        <f t="shared" si="7"/>
        <v>0</v>
      </c>
      <c r="I131" s="147">
        <f t="shared" si="8"/>
        <v>0</v>
      </c>
    </row>
    <row r="132" spans="1:12" ht="15" customHeight="1" x14ac:dyDescent="0.35">
      <c r="A132" s="146">
        <v>4</v>
      </c>
      <c r="B132" t="str">
        <f>'Dienstreisen und Qualifizierung'!C13</f>
        <v>bitte auswählen</v>
      </c>
      <c r="C132" t="str">
        <f>'Dienstreisen und Qualifizierung'!G13</f>
        <v>bitte auswählen</v>
      </c>
      <c r="D132">
        <f>'Dienstreisen und Qualifizierung'!H13</f>
        <v>0</v>
      </c>
      <c r="E132">
        <f t="shared" si="4"/>
        <v>0</v>
      </c>
      <c r="F132" s="147">
        <f t="shared" si="5"/>
        <v>0</v>
      </c>
      <c r="G132" s="147">
        <f t="shared" si="6"/>
        <v>0</v>
      </c>
      <c r="H132" s="147">
        <f t="shared" si="7"/>
        <v>0</v>
      </c>
      <c r="I132" s="147">
        <f t="shared" si="8"/>
        <v>0</v>
      </c>
    </row>
    <row r="133" spans="1:12" ht="15" customHeight="1" x14ac:dyDescent="0.35">
      <c r="A133" s="146">
        <v>5</v>
      </c>
      <c r="B133" t="str">
        <f>'Dienstreisen und Qualifizierung'!C14</f>
        <v>bitte auswählen</v>
      </c>
      <c r="C133" t="str">
        <f>'Dienstreisen und Qualifizierung'!G14</f>
        <v>bitte auswählen</v>
      </c>
      <c r="D133">
        <f>'Dienstreisen und Qualifizierung'!H14</f>
        <v>0</v>
      </c>
      <c r="E133">
        <f t="shared" si="4"/>
        <v>0</v>
      </c>
      <c r="F133" s="147">
        <f t="shared" si="5"/>
        <v>0</v>
      </c>
      <c r="G133" s="147">
        <f t="shared" si="6"/>
        <v>0</v>
      </c>
      <c r="H133" s="147">
        <f t="shared" si="7"/>
        <v>0</v>
      </c>
      <c r="I133" s="147">
        <f t="shared" si="8"/>
        <v>0</v>
      </c>
    </row>
    <row r="134" spans="1:12" ht="15" customHeight="1" x14ac:dyDescent="0.35">
      <c r="A134" s="146">
        <v>6</v>
      </c>
      <c r="B134" t="str">
        <f>'Dienstreisen und Qualifizierung'!C15</f>
        <v>bitte auswählen</v>
      </c>
      <c r="C134" t="str">
        <f>'Dienstreisen und Qualifizierung'!G15</f>
        <v>bitte auswählen</v>
      </c>
      <c r="D134">
        <f>'Dienstreisen und Qualifizierung'!H15</f>
        <v>0</v>
      </c>
      <c r="E134">
        <f t="shared" si="4"/>
        <v>0</v>
      </c>
      <c r="F134" s="147">
        <f t="shared" si="5"/>
        <v>0</v>
      </c>
      <c r="G134" s="147">
        <f t="shared" si="6"/>
        <v>0</v>
      </c>
      <c r="H134" s="147">
        <f t="shared" si="7"/>
        <v>0</v>
      </c>
      <c r="I134" s="147">
        <f t="shared" si="8"/>
        <v>0</v>
      </c>
    </row>
    <row r="135" spans="1:12" ht="15" customHeight="1" x14ac:dyDescent="0.35">
      <c r="A135" s="146">
        <v>7</v>
      </c>
      <c r="B135" t="str">
        <f>'Dienstreisen und Qualifizierung'!C16</f>
        <v>bitte auswählen</v>
      </c>
      <c r="C135" t="str">
        <f>'Dienstreisen und Qualifizierung'!G16</f>
        <v>bitte auswählen</v>
      </c>
      <c r="D135">
        <f>'Dienstreisen und Qualifizierung'!H16</f>
        <v>0</v>
      </c>
      <c r="E135">
        <f t="shared" si="4"/>
        <v>0</v>
      </c>
      <c r="F135" s="147">
        <f t="shared" si="5"/>
        <v>0</v>
      </c>
      <c r="G135" s="147">
        <f t="shared" si="6"/>
        <v>0</v>
      </c>
      <c r="H135" s="147">
        <f t="shared" si="7"/>
        <v>0</v>
      </c>
      <c r="I135" s="147">
        <f t="shared" si="8"/>
        <v>0</v>
      </c>
    </row>
    <row r="136" spans="1:12" ht="15" customHeight="1" x14ac:dyDescent="0.35">
      <c r="A136" s="146">
        <v>8</v>
      </c>
      <c r="B136" t="str">
        <f>'Dienstreisen und Qualifizierung'!C17</f>
        <v>bitte auswählen</v>
      </c>
      <c r="C136" t="str">
        <f>'Dienstreisen und Qualifizierung'!G17</f>
        <v>bitte auswählen</v>
      </c>
      <c r="D136">
        <f>'Dienstreisen und Qualifizierung'!H17</f>
        <v>0</v>
      </c>
      <c r="E136">
        <f t="shared" si="4"/>
        <v>0</v>
      </c>
      <c r="F136" s="147">
        <f t="shared" si="5"/>
        <v>0</v>
      </c>
      <c r="G136" s="147">
        <f t="shared" si="6"/>
        <v>0</v>
      </c>
      <c r="H136" s="147">
        <f t="shared" si="7"/>
        <v>0</v>
      </c>
      <c r="I136" s="147">
        <f t="shared" si="8"/>
        <v>0</v>
      </c>
    </row>
    <row r="137" spans="1:12" ht="15" customHeight="1" x14ac:dyDescent="0.35">
      <c r="A137" s="146">
        <v>9</v>
      </c>
      <c r="B137" t="str">
        <f>'Dienstreisen und Qualifizierung'!C18</f>
        <v>bitte auswählen</v>
      </c>
      <c r="C137" t="str">
        <f>'Dienstreisen und Qualifizierung'!G18</f>
        <v>bitte auswählen</v>
      </c>
      <c r="D137">
        <f>'Dienstreisen und Qualifizierung'!H18</f>
        <v>0</v>
      </c>
      <c r="E137">
        <f t="shared" si="4"/>
        <v>0</v>
      </c>
      <c r="F137" s="147">
        <f t="shared" si="5"/>
        <v>0</v>
      </c>
      <c r="G137" s="147">
        <f t="shared" si="6"/>
        <v>0</v>
      </c>
      <c r="H137" s="147">
        <f t="shared" si="7"/>
        <v>0</v>
      </c>
      <c r="I137" s="147">
        <f t="shared" si="8"/>
        <v>0</v>
      </c>
      <c r="J137" t="s">
        <v>561</v>
      </c>
      <c r="K137" t="s">
        <v>476</v>
      </c>
      <c r="L137" t="s">
        <v>563</v>
      </c>
    </row>
    <row r="138" spans="1:12" ht="15" customHeight="1" x14ac:dyDescent="0.35">
      <c r="A138" s="146">
        <v>10</v>
      </c>
      <c r="B138" t="str">
        <f>'Dienstreisen und Qualifizierung'!C19</f>
        <v>bitte auswählen</v>
      </c>
      <c r="C138" t="str">
        <f>'Dienstreisen und Qualifizierung'!G19</f>
        <v>bitte auswählen</v>
      </c>
      <c r="D138">
        <f>'Dienstreisen und Qualifizierung'!H19</f>
        <v>0</v>
      </c>
      <c r="E138">
        <f t="shared" si="4"/>
        <v>0</v>
      </c>
      <c r="F138" s="147">
        <f t="shared" si="5"/>
        <v>0</v>
      </c>
      <c r="G138" s="147">
        <f t="shared" si="6"/>
        <v>0</v>
      </c>
      <c r="H138" s="147">
        <f t="shared" si="7"/>
        <v>0</v>
      </c>
      <c r="I138" s="147">
        <f t="shared" si="8"/>
        <v>0</v>
      </c>
      <c r="J138" t="str">
        <f>A10</f>
        <v>Fach-/Infoveranstaltung</v>
      </c>
      <c r="K138" s="211">
        <f>5*menu!I47</f>
        <v>5</v>
      </c>
      <c r="L138">
        <f>IF(G145&gt;K138,1,0)</f>
        <v>0</v>
      </c>
    </row>
    <row r="139" spans="1:12" ht="15" customHeight="1" x14ac:dyDescent="0.35">
      <c r="A139" s="146">
        <v>11</v>
      </c>
      <c r="B139" t="str">
        <f>'Dienstreisen und Qualifizierung'!C20</f>
        <v>bitte auswählen</v>
      </c>
      <c r="C139" t="str">
        <f>'Dienstreisen und Qualifizierung'!G20</f>
        <v>bitte auswählen</v>
      </c>
      <c r="D139">
        <f>'Dienstreisen und Qualifizierung'!H20</f>
        <v>0</v>
      </c>
      <c r="E139">
        <f t="shared" si="4"/>
        <v>0</v>
      </c>
      <c r="F139" s="147">
        <f t="shared" si="5"/>
        <v>0</v>
      </c>
      <c r="G139" s="147">
        <f t="shared" si="6"/>
        <v>0</v>
      </c>
      <c r="H139" s="147">
        <f t="shared" si="7"/>
        <v>0</v>
      </c>
      <c r="I139" s="147">
        <f t="shared" si="8"/>
        <v>0</v>
      </c>
      <c r="J139" t="str">
        <f>A11</f>
        <v>Netzwerktreffen</v>
      </c>
      <c r="K139" s="211" t="s">
        <v>562</v>
      </c>
    </row>
    <row r="140" spans="1:12" ht="15" customHeight="1" x14ac:dyDescent="0.35">
      <c r="A140" s="146">
        <v>12</v>
      </c>
      <c r="B140" t="str">
        <f>'Dienstreisen und Qualifizierung'!C21</f>
        <v>bitte auswählen</v>
      </c>
      <c r="C140" t="str">
        <f>'Dienstreisen und Qualifizierung'!G21</f>
        <v>bitte auswählen</v>
      </c>
      <c r="D140">
        <f>'Dienstreisen und Qualifizierung'!H21</f>
        <v>0</v>
      </c>
      <c r="E140">
        <f t="shared" si="4"/>
        <v>0</v>
      </c>
      <c r="F140" s="147">
        <f t="shared" si="5"/>
        <v>0</v>
      </c>
      <c r="G140" s="147">
        <f t="shared" si="6"/>
        <v>0</v>
      </c>
      <c r="H140" s="147">
        <f t="shared" si="7"/>
        <v>0</v>
      </c>
      <c r="I140" s="147">
        <f t="shared" si="8"/>
        <v>0</v>
      </c>
      <c r="J140" t="str">
        <f>A12</f>
        <v>Weiterqualifizierung</v>
      </c>
      <c r="K140" s="211" t="e">
        <f>IF(Basisdaten!#REF!="Nein",6,IF(AND(menu!F46="ÜGR",menu!G46="Integriertes Konzept",menu!H46="Erstvorhaben"),9,IF(AND(menu!F46="ÜGR",menu!G46&lt;&gt;"Integriertes Konzept",menu!H46="Erstvorhaben"),6,IF(AND(H46="Anschlussvorhaben",F46="aktuell"),9,IF(AND(F46="ÜGR",G46="Integriertes Konzept"),6,IF(AND(F46="ÜGR",G46&lt;&gt;"Integriertes Konzept"),3))))))</f>
        <v>#REF!</v>
      </c>
      <c r="L140" t="e">
        <f>IF(F145&gt;K140,1,0)</f>
        <v>#REF!</v>
      </c>
    </row>
    <row r="141" spans="1:12" ht="15" customHeight="1" x14ac:dyDescent="0.35">
      <c r="A141" s="146">
        <v>13</v>
      </c>
      <c r="B141" t="str">
        <f>'Dienstreisen und Qualifizierung'!C22</f>
        <v>bitte auswählen</v>
      </c>
      <c r="C141" t="str">
        <f>'Dienstreisen und Qualifizierung'!G22</f>
        <v>bitte auswählen</v>
      </c>
      <c r="D141">
        <f>'Dienstreisen und Qualifizierung'!H22</f>
        <v>0</v>
      </c>
      <c r="E141">
        <f t="shared" si="4"/>
        <v>0</v>
      </c>
      <c r="F141" s="147">
        <f t="shared" si="5"/>
        <v>0</v>
      </c>
      <c r="G141" s="147">
        <f t="shared" si="6"/>
        <v>0</v>
      </c>
      <c r="H141" s="147">
        <f t="shared" si="7"/>
        <v>0</v>
      </c>
      <c r="I141" s="147">
        <f t="shared" si="8"/>
        <v>0</v>
      </c>
      <c r="J141" t="str">
        <f>A13</f>
        <v>Sonstige DR</v>
      </c>
      <c r="K141" s="211" t="s">
        <v>562</v>
      </c>
    </row>
    <row r="142" spans="1:12" ht="15" customHeight="1" x14ac:dyDescent="0.35">
      <c r="A142" s="146">
        <v>14</v>
      </c>
      <c r="B142" t="str">
        <f>'Dienstreisen und Qualifizierung'!C23</f>
        <v>bitte auswählen</v>
      </c>
      <c r="C142" t="str">
        <f>'Dienstreisen und Qualifizierung'!G23</f>
        <v>bitte auswählen</v>
      </c>
      <c r="D142">
        <f>'Dienstreisen und Qualifizierung'!H23</f>
        <v>0</v>
      </c>
      <c r="E142">
        <f t="shared" si="4"/>
        <v>0</v>
      </c>
      <c r="F142" s="147">
        <f t="shared" si="5"/>
        <v>0</v>
      </c>
      <c r="G142" s="147">
        <f t="shared" si="6"/>
        <v>0</v>
      </c>
      <c r="H142" s="147">
        <f t="shared" si="7"/>
        <v>0</v>
      </c>
      <c r="I142" s="147">
        <f t="shared" si="8"/>
        <v>0</v>
      </c>
    </row>
    <row r="143" spans="1:12" ht="15" customHeight="1" x14ac:dyDescent="0.35">
      <c r="A143" s="146">
        <v>15</v>
      </c>
      <c r="B143" t="str">
        <f>'Dienstreisen und Qualifizierung'!C24</f>
        <v>bitte auswählen</v>
      </c>
      <c r="C143" t="str">
        <f>'Dienstreisen und Qualifizierung'!G24</f>
        <v>bitte auswählen</v>
      </c>
      <c r="D143">
        <f>'Dienstreisen und Qualifizierung'!H24</f>
        <v>0</v>
      </c>
      <c r="E143">
        <f t="shared" si="4"/>
        <v>0</v>
      </c>
      <c r="F143" s="147">
        <f t="shared" si="5"/>
        <v>0</v>
      </c>
      <c r="G143" s="147">
        <f t="shared" si="6"/>
        <v>0</v>
      </c>
      <c r="H143" s="147">
        <f t="shared" si="7"/>
        <v>0</v>
      </c>
      <c r="I143" s="147">
        <f t="shared" si="8"/>
        <v>0</v>
      </c>
      <c r="J143" t="s">
        <v>566</v>
      </c>
      <c r="K143">
        <f>COUNTIFS('Dienstreisen und Qualifizierung'!C10:C25,"=Netzwerktreffen",'Dienstreisen und Qualifizierung'!M10:M25,"&gt;0")</f>
        <v>0</v>
      </c>
    </row>
    <row r="144" spans="1:12" ht="15.75" customHeight="1" x14ac:dyDescent="0.35">
      <c r="A144" s="148">
        <v>16</v>
      </c>
      <c r="B144" t="str">
        <f>'Dienstreisen und Qualifizierung'!C25</f>
        <v>bitte auswählen</v>
      </c>
      <c r="C144" s="149" t="str">
        <f>'Dienstreisen und Qualifizierung'!G25</f>
        <v>bitte auswählen</v>
      </c>
      <c r="D144" s="149">
        <f>'Dienstreisen und Qualifizierung'!H25</f>
        <v>0</v>
      </c>
      <c r="E144">
        <f t="shared" si="4"/>
        <v>0</v>
      </c>
      <c r="F144" s="147">
        <f t="shared" si="5"/>
        <v>0</v>
      </c>
      <c r="G144" s="147">
        <f t="shared" si="6"/>
        <v>0</v>
      </c>
      <c r="H144" s="147">
        <f t="shared" si="7"/>
        <v>0</v>
      </c>
      <c r="I144" s="147">
        <f t="shared" si="8"/>
        <v>0</v>
      </c>
      <c r="J144" t="s">
        <v>567</v>
      </c>
      <c r="K144">
        <f>COUNTIFS('Dienstreisen und Qualifizierung'!C10:C25,A12,'Dienstreisen und Qualifizierung'!M10:M25,"&gt;1000")</f>
        <v>0</v>
      </c>
    </row>
    <row r="145" spans="1:9" x14ac:dyDescent="0.35">
      <c r="F145" s="223">
        <f>SUM(F129:F144)</f>
        <v>0</v>
      </c>
      <c r="G145" s="223">
        <f>SUM(G129:G144)</f>
        <v>0</v>
      </c>
      <c r="H145" s="147">
        <f>SUM(H129:H144)</f>
        <v>0</v>
      </c>
      <c r="I145" s="147">
        <f>SUM(I129:I144)</f>
        <v>0</v>
      </c>
    </row>
    <row r="146" spans="1:9" x14ac:dyDescent="0.35">
      <c r="A146" s="563"/>
      <c r="B146" s="570"/>
      <c r="C146" s="18"/>
    </row>
    <row r="147" spans="1:9" x14ac:dyDescent="0.35">
      <c r="A147" s="563"/>
      <c r="B147" s="570"/>
      <c r="C147" s="18"/>
    </row>
    <row r="148" spans="1:9" x14ac:dyDescent="0.35">
      <c r="A148" s="68">
        <v>42735</v>
      </c>
    </row>
    <row r="150" spans="1:9" x14ac:dyDescent="0.35">
      <c r="A150" t="s">
        <v>258</v>
      </c>
    </row>
    <row r="151" spans="1:9" x14ac:dyDescent="0.35">
      <c r="A151" t="s">
        <v>68</v>
      </c>
    </row>
    <row r="152" spans="1:9" x14ac:dyDescent="0.35">
      <c r="A152" t="s">
        <v>312</v>
      </c>
    </row>
    <row r="153" spans="1:9" x14ac:dyDescent="0.35">
      <c r="A153" t="s">
        <v>320</v>
      </c>
    </row>
    <row r="154" spans="1:9" x14ac:dyDescent="0.35">
      <c r="A154" t="s">
        <v>473</v>
      </c>
    </row>
    <row r="155" spans="1:9" x14ac:dyDescent="0.35">
      <c r="A155" t="s">
        <v>355</v>
      </c>
    </row>
    <row r="159" spans="1:9" x14ac:dyDescent="0.35">
      <c r="A159" t="s">
        <v>284</v>
      </c>
    </row>
    <row r="160" spans="1:9" x14ac:dyDescent="0.35">
      <c r="A160" t="s">
        <v>285</v>
      </c>
      <c r="C160" s="2">
        <v>5000</v>
      </c>
    </row>
    <row r="161" spans="1:16" x14ac:dyDescent="0.35">
      <c r="A161" t="s">
        <v>286</v>
      </c>
      <c r="C161" s="2">
        <v>10000</v>
      </c>
    </row>
    <row r="162" spans="1:16" x14ac:dyDescent="0.35">
      <c r="A162" t="s">
        <v>325</v>
      </c>
      <c r="C162" s="2">
        <v>5000</v>
      </c>
    </row>
    <row r="163" spans="1:16" x14ac:dyDescent="0.35">
      <c r="A163" t="s">
        <v>591</v>
      </c>
      <c r="C163" s="2">
        <v>5000</v>
      </c>
    </row>
    <row r="166" spans="1:16" x14ac:dyDescent="0.35">
      <c r="A166" s="145" t="s">
        <v>404</v>
      </c>
      <c r="B166" s="329"/>
      <c r="C166" s="329"/>
      <c r="D166" s="329"/>
      <c r="E166" s="329"/>
      <c r="F166" s="329"/>
      <c r="G166" s="329"/>
      <c r="H166" s="329"/>
      <c r="I166" s="329"/>
      <c r="J166" s="329"/>
      <c r="K166" s="329"/>
      <c r="L166" s="329"/>
      <c r="M166" s="330"/>
      <c r="N166" s="329"/>
      <c r="O166" s="329"/>
      <c r="P166" s="330"/>
    </row>
    <row r="167" spans="1:16" x14ac:dyDescent="0.35">
      <c r="A167" s="146"/>
      <c r="B167">
        <v>1</v>
      </c>
      <c r="C167">
        <v>2</v>
      </c>
      <c r="D167">
        <v>3</v>
      </c>
      <c r="M167" s="147"/>
      <c r="P167" s="147"/>
    </row>
    <row r="168" spans="1:16" ht="15" customHeight="1" x14ac:dyDescent="0.35">
      <c r="A168" s="146" t="s">
        <v>396</v>
      </c>
      <c r="B168" t="s">
        <v>395</v>
      </c>
      <c r="M168" s="332"/>
      <c r="N168" s="233"/>
      <c r="O168" s="233"/>
      <c r="P168" s="332"/>
    </row>
    <row r="169" spans="1:16" x14ac:dyDescent="0.35">
      <c r="A169" s="146" t="s">
        <v>397</v>
      </c>
      <c r="B169" t="s">
        <v>398</v>
      </c>
      <c r="M169" s="331"/>
      <c r="N169" s="1"/>
      <c r="O169" s="1"/>
      <c r="P169" s="331"/>
    </row>
    <row r="170" spans="1:16" x14ac:dyDescent="0.35">
      <c r="A170" s="146" t="s">
        <v>399</v>
      </c>
      <c r="B170" t="s">
        <v>402</v>
      </c>
      <c r="C170" t="s">
        <v>451</v>
      </c>
      <c r="M170" s="331"/>
      <c r="N170" s="1"/>
      <c r="O170" s="1"/>
      <c r="P170" s="331"/>
    </row>
    <row r="171" spans="1:16" x14ac:dyDescent="0.35">
      <c r="A171" s="146" t="s">
        <v>400</v>
      </c>
      <c r="B171" t="s">
        <v>450</v>
      </c>
      <c r="M171" s="331"/>
      <c r="N171" s="1"/>
      <c r="O171" s="1"/>
      <c r="P171" s="331"/>
    </row>
    <row r="172" spans="1:16" x14ac:dyDescent="0.35">
      <c r="A172" s="146" t="s">
        <v>401</v>
      </c>
      <c r="B172" t="s">
        <v>403</v>
      </c>
      <c r="C172" t="s">
        <v>402</v>
      </c>
      <c r="D172" t="s">
        <v>451</v>
      </c>
      <c r="M172" s="331"/>
      <c r="N172" s="1"/>
      <c r="O172" s="1"/>
      <c r="P172" s="331"/>
    </row>
    <row r="173" spans="1:16" x14ac:dyDescent="0.35">
      <c r="A173" s="146"/>
      <c r="M173" s="331"/>
      <c r="N173" s="1"/>
      <c r="O173" s="1"/>
      <c r="P173" s="331"/>
    </row>
    <row r="174" spans="1:16" x14ac:dyDescent="0.35">
      <c r="A174" s="146">
        <v>1</v>
      </c>
      <c r="B174" t="str">
        <f>B168</f>
        <v>Bisherige Klimaschutzaktivitäten, Motivation und ggf. strukturelle Besonderheiten:</v>
      </c>
      <c r="M174" s="331"/>
      <c r="N174" s="1"/>
      <c r="O174" s="1"/>
      <c r="P174" s="331"/>
    </row>
    <row r="175" spans="1:16" x14ac:dyDescent="0.35">
      <c r="A175" s="146">
        <v>2</v>
      </c>
      <c r="M175" s="147"/>
      <c r="P175" s="147"/>
    </row>
    <row r="176" spans="1:16" x14ac:dyDescent="0.35">
      <c r="A176" s="148">
        <v>3</v>
      </c>
      <c r="B176" s="149"/>
      <c r="C176" s="149"/>
      <c r="D176" s="149"/>
      <c r="E176" s="149"/>
      <c r="F176" s="149"/>
      <c r="G176" s="149"/>
      <c r="H176" s="149"/>
      <c r="I176" s="149"/>
      <c r="J176" s="149"/>
      <c r="K176" s="149"/>
      <c r="L176" s="149"/>
      <c r="M176" s="150"/>
      <c r="N176" s="149"/>
      <c r="O176" s="149"/>
      <c r="P176" s="150"/>
    </row>
    <row r="179" spans="1:2" x14ac:dyDescent="0.35">
      <c r="A179" t="s">
        <v>594</v>
      </c>
    </row>
    <row r="180" spans="1:2" x14ac:dyDescent="0.35">
      <c r="A180" t="s">
        <v>553</v>
      </c>
    </row>
    <row r="181" spans="1:2" x14ac:dyDescent="0.35">
      <c r="A181" t="s">
        <v>552</v>
      </c>
    </row>
    <row r="182" spans="1:2" x14ac:dyDescent="0.35">
      <c r="A182" t="s">
        <v>443</v>
      </c>
    </row>
    <row r="184" spans="1:2" x14ac:dyDescent="0.35">
      <c r="A184" t="s">
        <v>409</v>
      </c>
    </row>
    <row r="185" spans="1:2" x14ac:dyDescent="0.35">
      <c r="A185" t="e">
        <f>COUNTIF('Inhalte und Handlungsfelder'!#REF!,"bitte auswählen")+COUNTIF('Inhalte und Handlungsfelder'!#REF!,"bitte auswählen")</f>
        <v>#REF!</v>
      </c>
      <c r="B185" t="s">
        <v>410</v>
      </c>
    </row>
    <row r="186" spans="1:2" x14ac:dyDescent="0.35">
      <c r="A186" t="e">
        <f>COUNTIF('Inhalte und Handlungsfelder'!#REF!,"Nein")+COUNTIF('Inhalte und Handlungsfelder'!#REF!,"Nein")</f>
        <v>#REF!</v>
      </c>
      <c r="B186" t="s">
        <v>411</v>
      </c>
    </row>
    <row r="188" spans="1:2" x14ac:dyDescent="0.35">
      <c r="A188" t="e">
        <f>IF(Basisdaten!#REF!="Nein","Bitte bestätigen Sie, dass das Klimaschutzkonzept die oben genannten Inhalte umfassen wird.","Bitte bestätigen Sie, dass das Klimaschutzkonzept die oben genannten Inhalte umfasst.")</f>
        <v>#REF!</v>
      </c>
    </row>
    <row r="189" spans="1:2" x14ac:dyDescent="0.35">
      <c r="A189" t="e">
        <f>IF(Basisdaten!#REF!="Nein","Hiermit wird bestätigt, dass das Klimaschutzkonzept die oben genannten Inhalte umfassen wird.","Hiermit wird bestätigt, dass das Klimaschutzkonzept die oben genannten Inhalte umfasset.")</f>
        <v>#REF!</v>
      </c>
    </row>
    <row r="191" spans="1:2" x14ac:dyDescent="0.35">
      <c r="A191" t="s">
        <v>415</v>
      </c>
      <c r="B191" t="e">
        <f>IF(OR(Basisdaten!#REF!="Ja",Basisdaten!#REF!=A154,Basisdaten!#REF!=A155,F46="ÜGR"),0,1)</f>
        <v>#REF!</v>
      </c>
    </row>
    <row r="193" spans="1:8" x14ac:dyDescent="0.35">
      <c r="A193" t="s">
        <v>417</v>
      </c>
      <c r="B193" s="68" t="str">
        <f>IF(Basisdaten!I36&lt;&gt;"",EDATE(Basisdaten!I36,-6),"...")</f>
        <v>...</v>
      </c>
      <c r="C193" s="68" t="str">
        <f>TEXT(B193,"TT.MM.JJJJ")</f>
        <v>...</v>
      </c>
    </row>
    <row r="194" spans="1:8" x14ac:dyDescent="0.35">
      <c r="A194" t="s">
        <v>418</v>
      </c>
      <c r="B194" s="68" t="str">
        <f>IF(Basisdaten!I36&lt;&gt;"",EDATE(Basisdaten!I36,-4),"...")</f>
        <v>...</v>
      </c>
      <c r="C194" s="68" t="str">
        <f>TEXT(B194,"TT.MM.JJJJ")</f>
        <v>...</v>
      </c>
    </row>
    <row r="196" spans="1:8" x14ac:dyDescent="0.35">
      <c r="A196" s="211" t="s">
        <v>428</v>
      </c>
    </row>
    <row r="197" spans="1:8" x14ac:dyDescent="0.35">
      <c r="A197" s="569" t="s">
        <v>431</v>
      </c>
      <c r="B197" s="569"/>
      <c r="C197" s="569"/>
      <c r="D197" s="569"/>
      <c r="F197" s="569" t="s">
        <v>434</v>
      </c>
      <c r="G197" s="569"/>
      <c r="H197" s="569"/>
    </row>
    <row r="198" spans="1:8" x14ac:dyDescent="0.35">
      <c r="A198" s="340"/>
      <c r="B198" s="340" t="s">
        <v>433</v>
      </c>
      <c r="C198" s="340" t="s">
        <v>432</v>
      </c>
      <c r="D198" s="340" t="s">
        <v>243</v>
      </c>
      <c r="F198" s="340" t="s">
        <v>433</v>
      </c>
      <c r="G198" s="340" t="s">
        <v>432</v>
      </c>
      <c r="H198" s="340" t="s">
        <v>243</v>
      </c>
    </row>
    <row r="199" spans="1:8" x14ac:dyDescent="0.35">
      <c r="A199" s="212" t="s">
        <v>429</v>
      </c>
      <c r="B199" s="86">
        <v>15</v>
      </c>
      <c r="C199" s="86">
        <v>25</v>
      </c>
      <c r="D199" s="86">
        <v>30</v>
      </c>
      <c r="F199">
        <f>ROUND((B199/305)*(305*$C$114),0)</f>
        <v>0</v>
      </c>
      <c r="G199">
        <f>ROUND((C199/305)*(305*$C$114),0)</f>
        <v>0</v>
      </c>
      <c r="H199">
        <f>ROUND((D199/305)*(305*$C$114),0)</f>
        <v>0</v>
      </c>
    </row>
    <row r="200" spans="1:8" x14ac:dyDescent="0.35">
      <c r="A200" s="212" t="s">
        <v>430</v>
      </c>
      <c r="B200" s="86">
        <v>15</v>
      </c>
      <c r="C200" s="86">
        <v>25</v>
      </c>
      <c r="D200" s="86">
        <v>30</v>
      </c>
      <c r="F200">
        <f t="shared" ref="F200:F209" si="9">ROUND((B200/305)*(305*$C$114),0)</f>
        <v>0</v>
      </c>
      <c r="G200">
        <f t="shared" ref="G200:G209" si="10">ROUND((C200/305)*(305*$C$114),0)</f>
        <v>0</v>
      </c>
      <c r="H200">
        <f t="shared" ref="H200:H209" si="11">ROUND((D200/305)*(305*$C$114),0)</f>
        <v>0</v>
      </c>
    </row>
    <row r="201" spans="1:8" x14ac:dyDescent="0.35">
      <c r="A201">
        <v>2</v>
      </c>
      <c r="B201" s="86">
        <v>20</v>
      </c>
      <c r="C201" s="86">
        <v>35</v>
      </c>
      <c r="D201" s="86">
        <v>40</v>
      </c>
      <c r="F201">
        <f t="shared" si="9"/>
        <v>0</v>
      </c>
      <c r="G201">
        <f t="shared" si="10"/>
        <v>0</v>
      </c>
      <c r="H201">
        <f t="shared" si="11"/>
        <v>0</v>
      </c>
    </row>
    <row r="202" spans="1:8" x14ac:dyDescent="0.35">
      <c r="A202">
        <v>3</v>
      </c>
      <c r="B202" s="86">
        <v>20</v>
      </c>
      <c r="C202" s="86">
        <v>30</v>
      </c>
      <c r="D202" s="86">
        <v>40</v>
      </c>
      <c r="F202">
        <f t="shared" si="9"/>
        <v>0</v>
      </c>
      <c r="G202">
        <f t="shared" si="10"/>
        <v>0</v>
      </c>
      <c r="H202">
        <f t="shared" si="11"/>
        <v>0</v>
      </c>
    </row>
    <row r="203" spans="1:8" x14ac:dyDescent="0.35">
      <c r="A203">
        <v>4</v>
      </c>
      <c r="B203" s="86">
        <v>25</v>
      </c>
      <c r="C203" s="86">
        <v>35</v>
      </c>
      <c r="D203" s="86">
        <v>50</v>
      </c>
      <c r="F203">
        <f t="shared" si="9"/>
        <v>0</v>
      </c>
      <c r="G203">
        <f t="shared" si="10"/>
        <v>0</v>
      </c>
      <c r="H203">
        <f t="shared" si="11"/>
        <v>0</v>
      </c>
    </row>
    <row r="204" spans="1:8" x14ac:dyDescent="0.35">
      <c r="A204">
        <v>5</v>
      </c>
      <c r="B204" s="86">
        <v>40</v>
      </c>
      <c r="C204" s="86">
        <v>60</v>
      </c>
      <c r="D204" s="86">
        <v>80</v>
      </c>
      <c r="F204">
        <f t="shared" si="9"/>
        <v>0</v>
      </c>
      <c r="G204">
        <f t="shared" si="10"/>
        <v>0</v>
      </c>
      <c r="H204">
        <f t="shared" si="11"/>
        <v>0</v>
      </c>
    </row>
    <row r="205" spans="1:8" x14ac:dyDescent="0.35">
      <c r="A205">
        <v>6</v>
      </c>
      <c r="B205" s="86">
        <v>10</v>
      </c>
      <c r="C205" s="86">
        <v>15</v>
      </c>
      <c r="D205" s="86">
        <v>20</v>
      </c>
      <c r="F205">
        <f t="shared" si="9"/>
        <v>0</v>
      </c>
      <c r="G205">
        <f t="shared" si="10"/>
        <v>0</v>
      </c>
      <c r="H205">
        <f t="shared" si="11"/>
        <v>0</v>
      </c>
    </row>
    <row r="206" spans="1:8" x14ac:dyDescent="0.35">
      <c r="A206">
        <v>7</v>
      </c>
      <c r="B206" s="86">
        <v>10</v>
      </c>
      <c r="C206" s="86">
        <v>15</v>
      </c>
      <c r="D206" s="86">
        <v>20</v>
      </c>
      <c r="F206">
        <f t="shared" si="9"/>
        <v>0</v>
      </c>
      <c r="G206">
        <f t="shared" si="10"/>
        <v>0</v>
      </c>
      <c r="H206">
        <f t="shared" si="11"/>
        <v>0</v>
      </c>
    </row>
    <row r="207" spans="1:8" x14ac:dyDescent="0.35">
      <c r="A207">
        <v>8</v>
      </c>
      <c r="B207" s="86">
        <v>10</v>
      </c>
      <c r="C207" s="86">
        <v>20</v>
      </c>
      <c r="D207" s="86">
        <v>30</v>
      </c>
      <c r="F207">
        <f t="shared" si="9"/>
        <v>0</v>
      </c>
      <c r="G207">
        <f t="shared" si="10"/>
        <v>0</v>
      </c>
      <c r="H207">
        <f t="shared" si="11"/>
        <v>0</v>
      </c>
    </row>
    <row r="208" spans="1:8" x14ac:dyDescent="0.35">
      <c r="A208">
        <v>9</v>
      </c>
      <c r="B208" s="86">
        <v>20</v>
      </c>
      <c r="C208" s="86">
        <v>30</v>
      </c>
      <c r="D208" s="86">
        <v>40</v>
      </c>
      <c r="F208">
        <f t="shared" si="9"/>
        <v>0</v>
      </c>
      <c r="G208">
        <f t="shared" si="10"/>
        <v>0</v>
      </c>
      <c r="H208">
        <f t="shared" si="11"/>
        <v>0</v>
      </c>
    </row>
    <row r="209" spans="1:9" x14ac:dyDescent="0.35">
      <c r="A209">
        <v>10</v>
      </c>
      <c r="B209" s="86">
        <v>10</v>
      </c>
      <c r="C209" s="86">
        <v>15</v>
      </c>
      <c r="D209" s="86">
        <v>20</v>
      </c>
      <c r="F209">
        <f t="shared" si="9"/>
        <v>0</v>
      </c>
      <c r="G209">
        <f t="shared" si="10"/>
        <v>0</v>
      </c>
      <c r="H209">
        <f t="shared" si="11"/>
        <v>0</v>
      </c>
    </row>
    <row r="210" spans="1:9" x14ac:dyDescent="0.35">
      <c r="B210" s="86"/>
      <c r="C210" s="86">
        <f>SUM(C199:C209)</f>
        <v>305</v>
      </c>
      <c r="D210" s="86"/>
      <c r="G210">
        <f>SUM(G199:G209)</f>
        <v>0</v>
      </c>
    </row>
    <row r="211" spans="1:9" x14ac:dyDescent="0.35">
      <c r="B211" s="86"/>
      <c r="C211" s="86"/>
      <c r="D211" s="86"/>
    </row>
    <row r="212" spans="1:9" x14ac:dyDescent="0.35">
      <c r="A212">
        <v>1</v>
      </c>
      <c r="B212" s="86">
        <v>20</v>
      </c>
      <c r="C212" s="86">
        <v>30</v>
      </c>
      <c r="D212" s="86">
        <v>40</v>
      </c>
      <c r="F212">
        <f>ROUND((B212/305)*(305*$C$114),0)</f>
        <v>0</v>
      </c>
      <c r="G212">
        <f>ROUND((C212/305)*(305*$C$114),0)</f>
        <v>0</v>
      </c>
      <c r="H212">
        <f>ROUND((D212/305)*(305*$C$114),0)</f>
        <v>0</v>
      </c>
    </row>
    <row r="213" spans="1:9" x14ac:dyDescent="0.35">
      <c r="A213">
        <v>2</v>
      </c>
      <c r="B213" s="86">
        <v>20</v>
      </c>
      <c r="C213" s="86">
        <v>25</v>
      </c>
      <c r="D213" s="86">
        <v>30</v>
      </c>
      <c r="F213">
        <f t="shared" ref="F213:F217" si="12">ROUND((B213/305)*(305*$C$114),0)</f>
        <v>0</v>
      </c>
      <c r="G213">
        <f t="shared" ref="G213:G217" si="13">ROUND((C213/305)*(305*$C$114),0)</f>
        <v>0</v>
      </c>
      <c r="H213">
        <f t="shared" ref="H213:H217" si="14">ROUND((D213/305)*(305*$C$114),0)</f>
        <v>0</v>
      </c>
    </row>
    <row r="214" spans="1:9" x14ac:dyDescent="0.35">
      <c r="A214">
        <v>3</v>
      </c>
      <c r="B214" s="86">
        <v>10</v>
      </c>
      <c r="C214" s="86">
        <v>20</v>
      </c>
      <c r="D214" s="86">
        <v>30</v>
      </c>
      <c r="F214">
        <f t="shared" si="12"/>
        <v>0</v>
      </c>
      <c r="G214">
        <f t="shared" si="13"/>
        <v>0</v>
      </c>
      <c r="H214">
        <f t="shared" si="14"/>
        <v>0</v>
      </c>
    </row>
    <row r="215" spans="1:9" x14ac:dyDescent="0.35">
      <c r="A215">
        <v>4</v>
      </c>
      <c r="B215" s="86">
        <v>10</v>
      </c>
      <c r="C215" s="86">
        <v>15</v>
      </c>
      <c r="D215" s="86">
        <v>20</v>
      </c>
      <c r="F215">
        <f t="shared" si="12"/>
        <v>0</v>
      </c>
      <c r="G215">
        <f t="shared" si="13"/>
        <v>0</v>
      </c>
      <c r="H215">
        <f t="shared" si="14"/>
        <v>0</v>
      </c>
    </row>
    <row r="216" spans="1:9" x14ac:dyDescent="0.35">
      <c r="A216">
        <v>5</v>
      </c>
      <c r="B216" s="86">
        <v>5</v>
      </c>
      <c r="C216" s="86">
        <v>5</v>
      </c>
      <c r="D216" s="86">
        <v>15</v>
      </c>
      <c r="F216">
        <f t="shared" si="12"/>
        <v>0</v>
      </c>
      <c r="G216">
        <f t="shared" si="13"/>
        <v>0</v>
      </c>
      <c r="H216">
        <f t="shared" si="14"/>
        <v>0</v>
      </c>
    </row>
    <row r="217" spans="1:9" x14ac:dyDescent="0.35">
      <c r="A217">
        <v>6</v>
      </c>
      <c r="B217" s="86">
        <v>20</v>
      </c>
      <c r="C217" s="86">
        <v>40</v>
      </c>
      <c r="D217" s="86">
        <v>40</v>
      </c>
      <c r="F217">
        <f t="shared" si="12"/>
        <v>0</v>
      </c>
      <c r="G217">
        <f t="shared" si="13"/>
        <v>0</v>
      </c>
      <c r="H217">
        <f t="shared" si="14"/>
        <v>0</v>
      </c>
    </row>
    <row r="218" spans="1:9" x14ac:dyDescent="0.35">
      <c r="B218" s="86"/>
      <c r="C218" s="86">
        <f>SUM(C212:C217)</f>
        <v>135</v>
      </c>
      <c r="D218" s="86"/>
      <c r="G218">
        <f>SUM(G212:G217)</f>
        <v>0</v>
      </c>
    </row>
    <row r="220" spans="1:9" x14ac:dyDescent="0.35">
      <c r="A220" s="86" t="s">
        <v>459</v>
      </c>
      <c r="B220" s="86"/>
      <c r="C220" s="86"/>
      <c r="D220" s="86"/>
      <c r="E220" s="86"/>
      <c r="F220" s="86"/>
    </row>
    <row r="221" spans="1:9" x14ac:dyDescent="0.35">
      <c r="A221" s="356" t="s">
        <v>452</v>
      </c>
      <c r="B221" s="86"/>
      <c r="C221" s="86"/>
      <c r="D221" s="86"/>
      <c r="E221" s="86"/>
      <c r="F221" s="86" t="str">
        <f>IF(OR(Basisdaten!I16=AF3,Basisdaten!I16=AF4,Basisdaten!I16=AF5),"GK","P")</f>
        <v>P</v>
      </c>
    </row>
    <row r="222" spans="1:9" x14ac:dyDescent="0.35">
      <c r="A222" s="86" t="s">
        <v>453</v>
      </c>
      <c r="B222" s="86" t="s">
        <v>454</v>
      </c>
      <c r="C222" s="86" t="s">
        <v>455</v>
      </c>
      <c r="D222" s="86"/>
      <c r="E222" s="86"/>
      <c r="F222" s="357" t="s">
        <v>462</v>
      </c>
      <c r="G222" s="357" t="s">
        <v>460</v>
      </c>
      <c r="H222" s="357" t="s">
        <v>461</v>
      </c>
      <c r="I222" s="356" t="s">
        <v>549</v>
      </c>
    </row>
    <row r="223" spans="1:9" x14ac:dyDescent="0.35">
      <c r="A223" s="86">
        <v>0</v>
      </c>
      <c r="B223" s="86">
        <v>9</v>
      </c>
      <c r="C223" s="86">
        <v>12</v>
      </c>
      <c r="D223" s="86">
        <v>5000</v>
      </c>
      <c r="E223" s="86"/>
      <c r="F223" s="358">
        <f>Basisdaten!I20</f>
        <v>0</v>
      </c>
      <c r="G223" s="18">
        <f>IF(F223&lt;D223,B223,IF(F223&lt;D224,B224,IF(F223&lt;D225,B225,IF(F223&lt;D226,B226,B227))))</f>
        <v>9</v>
      </c>
      <c r="H223" s="18">
        <f>IF(F223&lt;D223,C223,IF(F223&lt;D224,C224,IF(F223&lt;D225,C225,IF(F223&lt;D226,C226,C227))))</f>
        <v>12</v>
      </c>
      <c r="I223" s="211">
        <f>IF(F221="GK",IF(F223&lt;D224,E224,IF(F223&lt;D225,E225,IF(F223&lt;D226,E226,E227))),45)</f>
        <v>45</v>
      </c>
    </row>
    <row r="224" spans="1:9" x14ac:dyDescent="0.35">
      <c r="A224" s="86" t="s">
        <v>541</v>
      </c>
      <c r="B224" s="86">
        <v>11</v>
      </c>
      <c r="C224" s="86">
        <v>14</v>
      </c>
      <c r="D224" s="86">
        <v>10000</v>
      </c>
      <c r="E224" s="86">
        <v>20</v>
      </c>
      <c r="F224" s="86"/>
    </row>
    <row r="225" spans="1:7" x14ac:dyDescent="0.35">
      <c r="A225" s="86" t="s">
        <v>456</v>
      </c>
      <c r="B225" s="86">
        <v>15</v>
      </c>
      <c r="C225" s="86">
        <v>16</v>
      </c>
      <c r="D225" s="86">
        <v>30000</v>
      </c>
      <c r="E225" s="86">
        <v>25</v>
      </c>
      <c r="F225" s="86"/>
      <c r="G225" s="208"/>
    </row>
    <row r="226" spans="1:7" x14ac:dyDescent="0.35">
      <c r="A226" s="86" t="s">
        <v>457</v>
      </c>
      <c r="B226" s="86">
        <v>18</v>
      </c>
      <c r="C226" s="86">
        <v>20</v>
      </c>
      <c r="D226" s="86">
        <v>80000</v>
      </c>
      <c r="E226" s="86">
        <v>35</v>
      </c>
      <c r="F226" s="86"/>
    </row>
    <row r="227" spans="1:7" x14ac:dyDescent="0.35">
      <c r="A227" s="86" t="s">
        <v>458</v>
      </c>
      <c r="B227" s="86">
        <v>25</v>
      </c>
      <c r="C227" s="86">
        <v>25</v>
      </c>
      <c r="D227" s="86"/>
      <c r="E227" s="86">
        <v>45</v>
      </c>
      <c r="F227" s="86"/>
    </row>
    <row r="228" spans="1:7" x14ac:dyDescent="0.35">
      <c r="A228" s="86"/>
      <c r="B228" s="86"/>
      <c r="C228" s="86"/>
      <c r="D228" s="86"/>
      <c r="E228" s="86"/>
      <c r="F228" s="86"/>
    </row>
    <row r="229" spans="1:7" x14ac:dyDescent="0.35">
      <c r="A229" s="86"/>
      <c r="B229" s="86"/>
      <c r="C229" s="86"/>
      <c r="D229" s="86"/>
      <c r="E229" s="86"/>
      <c r="F229" s="86"/>
    </row>
    <row r="230" spans="1:7" x14ac:dyDescent="0.35">
      <c r="A230" s="1" t="s">
        <v>492</v>
      </c>
      <c r="B230" s="86"/>
      <c r="C230" s="86"/>
      <c r="D230" s="86"/>
      <c r="E230" s="86"/>
      <c r="F230" s="86"/>
    </row>
    <row r="231" spans="1:7" x14ac:dyDescent="0.35">
      <c r="A231" s="86" t="s">
        <v>493</v>
      </c>
      <c r="B231" s="86" t="str">
        <f>IF(AND(OR(Basisdaten!I16=menu!AF3,Basisdaten!I16=menu!AF4,Basisdaten!I16=menu!AF5),menu!F46="aktuell",menu!G46="Integriertes Konzept",menu!H46="Erstvorhaben"),"Ja","Nein")</f>
        <v>Nein</v>
      </c>
      <c r="C231" s="86"/>
      <c r="D231" s="86"/>
      <c r="E231" s="86"/>
      <c r="F231" s="86"/>
    </row>
    <row r="232" spans="1:7" x14ac:dyDescent="0.35">
      <c r="A232" s="86"/>
      <c r="B232" s="86"/>
      <c r="C232" s="86"/>
      <c r="D232" s="86"/>
      <c r="E232" s="86"/>
      <c r="F232" s="86"/>
    </row>
    <row r="234" spans="1:7" x14ac:dyDescent="0.35">
      <c r="A234" t="s">
        <v>503</v>
      </c>
      <c r="B234" t="s">
        <v>504</v>
      </c>
      <c r="C234" t="s">
        <v>505</v>
      </c>
    </row>
    <row r="235" spans="1:7" x14ac:dyDescent="0.35">
      <c r="A235" t="s">
        <v>55</v>
      </c>
      <c r="B235">
        <f>C20</f>
        <v>0</v>
      </c>
      <c r="C235">
        <f>C21</f>
        <v>0</v>
      </c>
    </row>
    <row r="236" spans="1:7" x14ac:dyDescent="0.35">
      <c r="A236" t="s">
        <v>56</v>
      </c>
      <c r="B236">
        <f>D20</f>
        <v>0</v>
      </c>
      <c r="C236">
        <f>D21</f>
        <v>0</v>
      </c>
    </row>
    <row r="237" spans="1:7" x14ac:dyDescent="0.35">
      <c r="A237" t="s">
        <v>57</v>
      </c>
      <c r="B237">
        <f>E20</f>
        <v>0</v>
      </c>
      <c r="C237">
        <f>E21</f>
        <v>0</v>
      </c>
    </row>
    <row r="238" spans="1:7" x14ac:dyDescent="0.35">
      <c r="A238" t="s">
        <v>198</v>
      </c>
      <c r="B238">
        <f>F20</f>
        <v>0</v>
      </c>
      <c r="C238">
        <f>F21</f>
        <v>0</v>
      </c>
    </row>
    <row r="239" spans="1:7" x14ac:dyDescent="0.35">
      <c r="A239" t="s">
        <v>199</v>
      </c>
      <c r="B239">
        <f>G20</f>
        <v>0</v>
      </c>
      <c r="C239">
        <f>G21</f>
        <v>0</v>
      </c>
    </row>
    <row r="240" spans="1:7" x14ac:dyDescent="0.35">
      <c r="A240" t="s">
        <v>223</v>
      </c>
    </row>
    <row r="241" spans="1:3" x14ac:dyDescent="0.35">
      <c r="A241" t="s">
        <v>55</v>
      </c>
      <c r="B241">
        <f>C26</f>
        <v>0</v>
      </c>
      <c r="C241">
        <f>C27</f>
        <v>0</v>
      </c>
    </row>
    <row r="242" spans="1:3" x14ac:dyDescent="0.35">
      <c r="A242" t="s">
        <v>56</v>
      </c>
      <c r="B242">
        <f>D26</f>
        <v>0</v>
      </c>
      <c r="C242">
        <f>D27</f>
        <v>0</v>
      </c>
    </row>
    <row r="243" spans="1:3" x14ac:dyDescent="0.35">
      <c r="A243" t="s">
        <v>57</v>
      </c>
      <c r="B243">
        <f>E26</f>
        <v>0</v>
      </c>
      <c r="C243">
        <f>E27</f>
        <v>0</v>
      </c>
    </row>
    <row r="244" spans="1:3" x14ac:dyDescent="0.35">
      <c r="A244" t="s">
        <v>198</v>
      </c>
      <c r="B244">
        <f>F26</f>
        <v>0</v>
      </c>
      <c r="C244">
        <f>F27</f>
        <v>0</v>
      </c>
    </row>
    <row r="245" spans="1:3" x14ac:dyDescent="0.35">
      <c r="A245" t="s">
        <v>199</v>
      </c>
      <c r="B245">
        <f>G26</f>
        <v>0</v>
      </c>
      <c r="C245">
        <f>G27</f>
        <v>0</v>
      </c>
    </row>
    <row r="246" spans="1:3" x14ac:dyDescent="0.35">
      <c r="A246" t="s">
        <v>201</v>
      </c>
    </row>
    <row r="247" spans="1:3" x14ac:dyDescent="0.35">
      <c r="A247" t="s">
        <v>55</v>
      </c>
      <c r="B247">
        <f>C31</f>
        <v>0</v>
      </c>
      <c r="C247">
        <f>C32</f>
        <v>0</v>
      </c>
    </row>
    <row r="248" spans="1:3" x14ac:dyDescent="0.35">
      <c r="A248" t="s">
        <v>56</v>
      </c>
      <c r="B248">
        <f>D31</f>
        <v>0</v>
      </c>
      <c r="C248">
        <f>D32</f>
        <v>0</v>
      </c>
    </row>
    <row r="249" spans="1:3" x14ac:dyDescent="0.35">
      <c r="A249" t="s">
        <v>57</v>
      </c>
      <c r="B249">
        <f>E31</f>
        <v>0</v>
      </c>
      <c r="C249">
        <f>E32</f>
        <v>0</v>
      </c>
    </row>
    <row r="250" spans="1:3" x14ac:dyDescent="0.35">
      <c r="A250" t="s">
        <v>198</v>
      </c>
      <c r="B250">
        <f>F31</f>
        <v>0</v>
      </c>
      <c r="C250">
        <f>F32</f>
        <v>0</v>
      </c>
    </row>
    <row r="251" spans="1:3" x14ac:dyDescent="0.35">
      <c r="A251" t="s">
        <v>199</v>
      </c>
      <c r="B251">
        <f>G31</f>
        <v>0</v>
      </c>
      <c r="C251">
        <f>G32</f>
        <v>0</v>
      </c>
    </row>
    <row r="256" spans="1:3" x14ac:dyDescent="0.35">
      <c r="A256" t="s">
        <v>571</v>
      </c>
    </row>
    <row r="257" spans="1:5" x14ac:dyDescent="0.35">
      <c r="A257" t="str">
        <f>Anmerkungen!E5</f>
        <v>bitte auswählen</v>
      </c>
      <c r="B257">
        <f>LEN(Anmerkungen!C6)</f>
        <v>0</v>
      </c>
    </row>
    <row r="258" spans="1:5" x14ac:dyDescent="0.35">
      <c r="A258" t="str">
        <f>Anmerkungen!E15</f>
        <v>bitte auswählen</v>
      </c>
      <c r="B258">
        <f>LEN(Anmerkungen!C16)</f>
        <v>0</v>
      </c>
    </row>
    <row r="259" spans="1:5" x14ac:dyDescent="0.35">
      <c r="A259" t="str">
        <f>Anmerkungen!E25</f>
        <v>bitte auswählen</v>
      </c>
      <c r="B259">
        <f>LEN(Anmerkungen!C26)</f>
        <v>0</v>
      </c>
    </row>
    <row r="260" spans="1:5" x14ac:dyDescent="0.35">
      <c r="A260" t="str">
        <f>Anmerkungen!E25</f>
        <v>bitte auswählen</v>
      </c>
      <c r="B260">
        <f>LEN(Anmerkungen!C36)</f>
        <v>0</v>
      </c>
    </row>
    <row r="261" spans="1:5" x14ac:dyDescent="0.35">
      <c r="A261" t="str">
        <f>Anmerkungen!E35</f>
        <v>bitte auswählen</v>
      </c>
      <c r="B261">
        <f>LEN(Anmerkungen!C46)</f>
        <v>0</v>
      </c>
    </row>
    <row r="265" spans="1:5" x14ac:dyDescent="0.35">
      <c r="B265" s="479" t="s">
        <v>607</v>
      </c>
      <c r="C265" s="451" t="s">
        <v>545</v>
      </c>
      <c r="D265" s="451" t="s">
        <v>606</v>
      </c>
      <c r="E265" s="451" t="s">
        <v>608</v>
      </c>
    </row>
    <row r="266" spans="1:5" x14ac:dyDescent="0.35">
      <c r="A266">
        <v>1</v>
      </c>
      <c r="B266" s="480" t="s">
        <v>610</v>
      </c>
      <c r="C266" s="452" t="s">
        <v>611</v>
      </c>
      <c r="D266" s="58" t="s">
        <v>609</v>
      </c>
      <c r="E266" s="58" t="s">
        <v>612</v>
      </c>
    </row>
    <row r="267" spans="1:5" x14ac:dyDescent="0.35">
      <c r="A267">
        <v>2</v>
      </c>
      <c r="B267" s="480" t="s">
        <v>613</v>
      </c>
      <c r="C267" s="452" t="s">
        <v>613</v>
      </c>
      <c r="D267" s="452" t="s">
        <v>613</v>
      </c>
      <c r="E267" s="58" t="s">
        <v>614</v>
      </c>
    </row>
    <row r="268" spans="1:5" x14ac:dyDescent="0.35">
      <c r="A268">
        <v>3</v>
      </c>
      <c r="B268" s="480" t="s">
        <v>616</v>
      </c>
      <c r="C268" s="452" t="s">
        <v>619</v>
      </c>
      <c r="D268" s="452" t="s">
        <v>615</v>
      </c>
      <c r="E268" s="58" t="s">
        <v>617</v>
      </c>
    </row>
    <row r="269" spans="1:5" x14ac:dyDescent="0.35">
      <c r="A269" s="212" t="s">
        <v>647</v>
      </c>
      <c r="B269" s="480" t="s">
        <v>649</v>
      </c>
      <c r="C269" s="452" t="s">
        <v>649</v>
      </c>
      <c r="D269" s="452" t="s">
        <v>649</v>
      </c>
      <c r="E269" s="58" t="s">
        <v>649</v>
      </c>
    </row>
    <row r="270" spans="1:5" x14ac:dyDescent="0.35">
      <c r="A270" s="212" t="s">
        <v>646</v>
      </c>
      <c r="B270" s="480" t="s">
        <v>648</v>
      </c>
      <c r="C270" s="452" t="s">
        <v>648</v>
      </c>
      <c r="D270" s="452" t="s">
        <v>648</v>
      </c>
      <c r="E270" s="58" t="s">
        <v>648</v>
      </c>
    </row>
    <row r="271" spans="1:5" x14ac:dyDescent="0.35">
      <c r="A271">
        <v>6</v>
      </c>
      <c r="B271" s="480" t="s">
        <v>619</v>
      </c>
      <c r="C271" s="452" t="s">
        <v>621</v>
      </c>
      <c r="D271" s="453" t="s">
        <v>407</v>
      </c>
      <c r="E271" s="58" t="s">
        <v>620</v>
      </c>
    </row>
    <row r="272" spans="1:5" x14ac:dyDescent="0.35">
      <c r="A272">
        <v>7</v>
      </c>
      <c r="B272" s="481" t="s">
        <v>621</v>
      </c>
      <c r="C272" s="58" t="s">
        <v>405</v>
      </c>
      <c r="D272" s="452" t="s">
        <v>405</v>
      </c>
      <c r="E272" s="58" t="s">
        <v>650</v>
      </c>
    </row>
    <row r="273" spans="1:5" x14ac:dyDescent="0.35">
      <c r="A273">
        <v>8</v>
      </c>
      <c r="B273" s="481" t="s">
        <v>405</v>
      </c>
      <c r="C273" s="58" t="s">
        <v>622</v>
      </c>
      <c r="D273" s="452" t="s">
        <v>406</v>
      </c>
      <c r="E273" s="58" t="s">
        <v>405</v>
      </c>
    </row>
    <row r="274" spans="1:5" x14ac:dyDescent="0.35">
      <c r="A274">
        <v>9</v>
      </c>
      <c r="B274" s="480" t="s">
        <v>622</v>
      </c>
      <c r="C274" s="452" t="s">
        <v>644</v>
      </c>
      <c r="D274" t="s">
        <v>644</v>
      </c>
      <c r="E274" s="58" t="s">
        <v>406</v>
      </c>
    </row>
    <row r="275" spans="1:5" ht="26" x14ac:dyDescent="0.35">
      <c r="A275">
        <v>10</v>
      </c>
      <c r="B275" s="481" t="s">
        <v>654</v>
      </c>
      <c r="C275" s="501" t="s">
        <v>667</v>
      </c>
      <c r="D275" s="58" t="s">
        <v>105</v>
      </c>
      <c r="E275" s="58" t="s">
        <v>407</v>
      </c>
    </row>
    <row r="278" spans="1:5" x14ac:dyDescent="0.35">
      <c r="A278" t="str">
        <f>IF(Basisdaten!$I$27=$A$103,C266,IF(Basisdaten!$I$27=$A$104,D266,IF(Basisdaten!$I$27=$A$105,E266,"")))</f>
        <v/>
      </c>
      <c r="B278" t="str">
        <f>IF(A278&lt;&gt;0,A278,"")</f>
        <v/>
      </c>
    </row>
    <row r="279" spans="1:5" x14ac:dyDescent="0.35">
      <c r="A279" t="str">
        <f>IF(Basisdaten!$I$27=$A$103,C267,IF(Basisdaten!$I$27=$A$104,D267,IF(Basisdaten!$I$27=$A$105,E267,"")))</f>
        <v/>
      </c>
      <c r="B279" t="str">
        <f t="shared" ref="B279:B289" si="15">IF(A279&lt;&gt;0,A279,"")</f>
        <v/>
      </c>
    </row>
    <row r="280" spans="1:5" x14ac:dyDescent="0.35">
      <c r="A280" t="str">
        <f>IF(Basisdaten!$I$27=$A$103,C268,IF(Basisdaten!$I$27=$A$104,D268,IF(Basisdaten!$I$27=$A$105,E268,"")))</f>
        <v/>
      </c>
      <c r="B280" t="str">
        <f t="shared" si="15"/>
        <v/>
      </c>
    </row>
    <row r="281" spans="1:5" x14ac:dyDescent="0.35">
      <c r="A281" t="str">
        <f>IF(Basisdaten!$I$27=$A$103,C269,IF(Basisdaten!$I$27=$A$104,D269,IF(Basisdaten!$I$27=$A$105,E269,"")))</f>
        <v/>
      </c>
      <c r="B281" t="str">
        <f t="shared" si="15"/>
        <v/>
      </c>
    </row>
    <row r="282" spans="1:5" x14ac:dyDescent="0.35">
      <c r="A282" t="str">
        <f>IF(Basisdaten!$I$27=$A$103,C270,IF(Basisdaten!$I$27=$A$104,D270,IF(Basisdaten!$I$27=$A$105,E270,"")))</f>
        <v/>
      </c>
      <c r="B282" t="str">
        <f t="shared" si="15"/>
        <v/>
      </c>
    </row>
    <row r="283" spans="1:5" x14ac:dyDescent="0.35">
      <c r="A283" t="str">
        <f>IF(Basisdaten!$I$27=$A$103,C271,IF(Basisdaten!$I$27=$A$104,D271,IF(Basisdaten!$I$27=$A$105,E271,"")))</f>
        <v/>
      </c>
      <c r="B283" t="str">
        <f t="shared" si="15"/>
        <v/>
      </c>
    </row>
    <row r="284" spans="1:5" x14ac:dyDescent="0.35">
      <c r="A284" t="str">
        <f>IF(Basisdaten!$I$27=$A$103,C272,IF(Basisdaten!$I$27=$A$104,D272,IF(Basisdaten!$I$27=$A$105,E272,"")))</f>
        <v/>
      </c>
      <c r="B284" t="str">
        <f t="shared" si="15"/>
        <v/>
      </c>
    </row>
    <row r="285" spans="1:5" x14ac:dyDescent="0.35">
      <c r="A285" t="str">
        <f>IF(Basisdaten!$I$27=$A$103,C273,IF(Basisdaten!$I$27=$A$104,D273,IF(Basisdaten!$I$27=$A$105,E273,"")))</f>
        <v/>
      </c>
      <c r="B285" t="str">
        <f t="shared" si="15"/>
        <v/>
      </c>
    </row>
    <row r="286" spans="1:5" x14ac:dyDescent="0.35">
      <c r="A286" t="str">
        <f>IF(Basisdaten!$I$27=$A$103,C274,IF(Basisdaten!$I$27=$A$104,D274,IF(Basisdaten!$I$27=$A$105,E274,"")))</f>
        <v/>
      </c>
      <c r="B286" t="str">
        <f t="shared" si="15"/>
        <v/>
      </c>
    </row>
    <row r="287" spans="1:5" x14ac:dyDescent="0.35">
      <c r="A287" t="str">
        <f>IF(Basisdaten!$I$27=$A$103,C275,IF(Basisdaten!$I$27=$A$104,D275,IF(Basisdaten!$I$27=$A$105,E275,"")))</f>
        <v/>
      </c>
      <c r="B287" t="str">
        <f t="shared" si="15"/>
        <v/>
      </c>
    </row>
    <row r="288" spans="1:5" x14ac:dyDescent="0.35">
      <c r="B288" t="str">
        <f t="shared" si="15"/>
        <v/>
      </c>
    </row>
    <row r="289" spans="1:8" x14ac:dyDescent="0.35">
      <c r="B289" t="str">
        <f t="shared" si="15"/>
        <v/>
      </c>
    </row>
    <row r="292" spans="1:8" x14ac:dyDescent="0.35">
      <c r="H292" t="s">
        <v>618</v>
      </c>
    </row>
    <row r="293" spans="1:8" x14ac:dyDescent="0.35">
      <c r="H293" t="s">
        <v>619</v>
      </c>
    </row>
    <row r="294" spans="1:8" x14ac:dyDescent="0.35">
      <c r="A294" t="e">
        <f>IF(Basisdaten!I27=menu!A105,0,VLOOKUP(B275,Ausgabenkalkulation!D15:L24,9,FALSE))</f>
        <v>#N/A</v>
      </c>
      <c r="B294" t="s">
        <v>645</v>
      </c>
    </row>
  </sheetData>
  <sortState xmlns:xlrd2="http://schemas.microsoft.com/office/spreadsheetml/2017/richdata2" ref="Q38:S53">
    <sortCondition ref="Q38"/>
  </sortState>
  <customSheetViews>
    <customSheetView guid="{68ABA936-E0C3-4F62-AA1D-4FD1F5462098}" state="hidden" topLeftCell="A8">
      <selection activeCell="B43" sqref="B43"/>
      <pageMargins left="0.7" right="0.7" top="0.78740157499999996" bottom="0.78740157499999996" header="0.3" footer="0.3"/>
      <pageSetup paperSize="9" orientation="portrait" r:id="rId1"/>
    </customSheetView>
  </customSheetViews>
  <mergeCells count="13">
    <mergeCell ref="A197:D197"/>
    <mergeCell ref="F197:H197"/>
    <mergeCell ref="A146:B146"/>
    <mergeCell ref="A147:B147"/>
    <mergeCell ref="A127:F127"/>
    <mergeCell ref="C122:I122"/>
    <mergeCell ref="R1:AC1"/>
    <mergeCell ref="A39:J39"/>
    <mergeCell ref="T3:U3"/>
    <mergeCell ref="N16:O16"/>
    <mergeCell ref="B93:C93"/>
    <mergeCell ref="F48:J48"/>
    <mergeCell ref="H43:I43"/>
  </mergeCells>
  <conditionalFormatting sqref="V4:V12">
    <cfRule type="expression" dxfId="359" priority="1">
      <formula>V4=0</formula>
    </cfRule>
  </conditionalFormatting>
  <dataValidations disablePrompts="1" count="2">
    <dataValidation allowBlank="1" showInputMessage="1" showErrorMessage="1" promptTitle="Was es tut:" prompt="Wenn die monatlichen Ausgaben für die jeweilige Personalgruppe die Obergrenze überschreiten wird eine 1 ausgegeben, ansonsten eine 0." sqref="B20 B26 B32" xr:uid="{00000000-0002-0000-0100-000000000000}"/>
    <dataValidation allowBlank="1" showInputMessage="1" showErrorMessage="1" promptTitle="Was es tut:" prompt="Wenn die monatlichen Ausgaben für die jeweilige Personalgruppe die Obergrenze überschreiten wird eine 1 ausgegeben, ansonsten eine 2." sqref="B21 B27 B33" xr:uid="{00000000-0002-0000-0100-000001000000}"/>
  </dataValidations>
  <pageMargins left="0.7" right="0.7" top="0.78740157499999996" bottom="0.78740157499999996"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2" id="{E1967BA1-6435-4674-A3A1-439EA91F0CDD}">
            <xm:f>prof_Prozessunterstützung!$F$14&gt;5*$I$47</xm:f>
            <x14:dxf/>
          </x14:cfRule>
          <xm:sqref>F14</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tabColor theme="4"/>
    <pageSetUpPr fitToPage="1"/>
  </sheetPr>
  <dimension ref="A1:AH99"/>
  <sheetViews>
    <sheetView showGridLines="0" showRowColHeaders="0" zoomScaleNormal="100" zoomScaleSheetLayoutView="100" workbookViewId="0">
      <selection activeCell="C19" sqref="C19:Q19"/>
    </sheetView>
  </sheetViews>
  <sheetFormatPr baseColWidth="10" defaultRowHeight="14.5" x14ac:dyDescent="0.35"/>
  <cols>
    <col min="1" max="1" width="2.54296875" style="1" customWidth="1"/>
    <col min="2" max="2" width="2.7265625" style="1" customWidth="1"/>
    <col min="3" max="3" width="2.81640625" style="1" customWidth="1"/>
    <col min="4" max="4" width="3.1796875" style="1" customWidth="1"/>
    <col min="5" max="5" width="3.7265625" style="1" customWidth="1"/>
    <col min="6" max="6" width="3.453125" style="1" customWidth="1"/>
    <col min="7" max="7" width="0.7265625" style="1" customWidth="1"/>
    <col min="8" max="8" width="9.453125" style="1" customWidth="1"/>
    <col min="9" max="9" width="4.54296875" style="1" customWidth="1"/>
    <col min="10" max="10" width="7.26953125" style="1" customWidth="1"/>
    <col min="11" max="11" width="10" style="1" customWidth="1"/>
    <col min="12" max="12" width="5.7265625" style="1" customWidth="1"/>
    <col min="13" max="13" width="6.1796875" style="1" customWidth="1"/>
    <col min="14" max="14" width="11.453125" style="1" customWidth="1"/>
    <col min="15" max="15" width="11.81640625" style="1" customWidth="1"/>
    <col min="16" max="16" width="11.453125" style="1" customWidth="1"/>
    <col min="17" max="17" width="12.81640625" style="1" customWidth="1"/>
    <col min="18" max="18" width="2.26953125" style="1" customWidth="1"/>
    <col min="19" max="19" width="2.26953125" customWidth="1"/>
    <col min="22" max="22" width="16" customWidth="1"/>
  </cols>
  <sheetData>
    <row r="1" spans="1:34" s="1" customFormat="1" ht="11.5" x14ac:dyDescent="0.25">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row>
    <row r="2" spans="1:34" s="1" customFormat="1" ht="12.75" hidden="1" customHeight="1" x14ac:dyDescent="0.25">
      <c r="A2" s="421"/>
      <c r="S2" s="421"/>
      <c r="T2" s="421"/>
      <c r="U2" s="421"/>
      <c r="V2" s="421"/>
      <c r="W2" s="421"/>
      <c r="X2" s="421"/>
      <c r="Y2" s="421"/>
      <c r="Z2" s="421"/>
      <c r="AA2" s="421"/>
      <c r="AB2" s="421"/>
      <c r="AC2" s="421"/>
      <c r="AD2" s="421"/>
      <c r="AE2" s="421"/>
      <c r="AF2" s="421"/>
      <c r="AG2" s="421"/>
      <c r="AH2" s="421"/>
    </row>
    <row r="3" spans="1:34" s="1" customFormat="1" ht="12" customHeight="1" x14ac:dyDescent="0.25">
      <c r="A3" s="421"/>
      <c r="S3" s="421"/>
      <c r="T3" s="421"/>
      <c r="U3" s="421"/>
      <c r="V3" s="421"/>
      <c r="W3" s="421"/>
      <c r="X3" s="421"/>
      <c r="Y3" s="421"/>
      <c r="Z3" s="421"/>
      <c r="AA3" s="421"/>
      <c r="AB3" s="421"/>
      <c r="AC3" s="421"/>
      <c r="AD3" s="421"/>
      <c r="AE3" s="421"/>
      <c r="AF3" s="421"/>
      <c r="AG3" s="421"/>
      <c r="AH3" s="421"/>
    </row>
    <row r="4" spans="1:34" s="4" customFormat="1" ht="57" customHeight="1" x14ac:dyDescent="0.25">
      <c r="A4" s="422"/>
      <c r="C4" s="533" t="str">
        <f>AntragstellerIn!C4</f>
        <v>Vorhabenbeschreibung 
4.1.10 a): Erstellung eines 
Fokuskonzeptes</v>
      </c>
      <c r="D4" s="533"/>
      <c r="E4" s="533"/>
      <c r="F4" s="533"/>
      <c r="G4" s="533"/>
      <c r="H4" s="533"/>
      <c r="I4" s="533"/>
      <c r="J4" s="533"/>
      <c r="K4" s="533"/>
      <c r="L4" s="533"/>
      <c r="M4" s="533"/>
      <c r="N4" s="1"/>
      <c r="O4" s="1"/>
      <c r="P4" s="1"/>
      <c r="Q4" s="1"/>
      <c r="R4" s="1"/>
      <c r="S4" s="422"/>
      <c r="T4" s="422"/>
      <c r="U4" s="978"/>
      <c r="V4" s="978"/>
      <c r="W4" s="422"/>
      <c r="X4" s="422"/>
      <c r="Y4" s="422"/>
      <c r="Z4" s="422"/>
      <c r="AA4" s="422"/>
      <c r="AB4" s="422"/>
      <c r="AC4" s="422"/>
      <c r="AD4" s="422"/>
      <c r="AE4" s="422"/>
      <c r="AF4" s="422"/>
      <c r="AG4" s="422"/>
      <c r="AH4" s="422"/>
    </row>
    <row r="5" spans="1:34" s="4" customFormat="1" ht="22.5" customHeight="1" x14ac:dyDescent="0.25">
      <c r="A5" s="422"/>
      <c r="C5" s="579" t="str">
        <f>Basisdaten!$C$6</f>
        <v/>
      </c>
      <c r="D5" s="579"/>
      <c r="E5" s="579"/>
      <c r="F5" s="579"/>
      <c r="G5" s="579"/>
      <c r="H5" s="579"/>
      <c r="I5" s="579"/>
      <c r="J5" s="579"/>
      <c r="K5" s="579"/>
      <c r="L5" s="579"/>
      <c r="M5" s="579"/>
      <c r="N5" s="1"/>
      <c r="O5" s="1"/>
      <c r="P5" s="1"/>
      <c r="Q5" s="1"/>
      <c r="R5" s="1"/>
      <c r="S5" s="422"/>
      <c r="T5" s="434"/>
      <c r="U5" s="422"/>
      <c r="V5" s="422"/>
      <c r="W5" s="422"/>
      <c r="X5" s="422"/>
      <c r="Y5" s="422"/>
      <c r="Z5" s="422"/>
      <c r="AA5" s="422"/>
      <c r="AB5" s="422"/>
      <c r="AC5" s="422"/>
      <c r="AD5" s="422"/>
      <c r="AE5" s="422"/>
      <c r="AF5" s="422"/>
      <c r="AG5" s="422"/>
      <c r="AH5" s="422"/>
    </row>
    <row r="6" spans="1:34" s="4" customFormat="1" ht="6" customHeight="1" x14ac:dyDescent="0.25">
      <c r="A6" s="422"/>
      <c r="C6" s="228"/>
      <c r="D6" s="228"/>
      <c r="E6" s="228"/>
      <c r="F6" s="228"/>
      <c r="G6" s="228"/>
      <c r="H6" s="228"/>
      <c r="I6" s="228"/>
      <c r="J6" s="228"/>
      <c r="K6" s="228"/>
      <c r="L6" s="1"/>
      <c r="M6" s="1"/>
      <c r="N6" s="1"/>
      <c r="O6" s="1"/>
      <c r="P6" s="1"/>
      <c r="Q6" s="1"/>
      <c r="R6" s="1"/>
      <c r="S6" s="422"/>
      <c r="T6" s="422"/>
      <c r="U6" s="422"/>
      <c r="V6" s="422"/>
      <c r="W6" s="422"/>
      <c r="X6" s="422"/>
      <c r="Y6" s="422"/>
      <c r="Z6" s="422"/>
      <c r="AA6" s="422"/>
      <c r="AB6" s="422"/>
      <c r="AC6" s="422"/>
      <c r="AD6" s="422"/>
      <c r="AE6" s="422"/>
      <c r="AF6" s="422"/>
      <c r="AG6" s="422"/>
      <c r="AH6" s="422"/>
    </row>
    <row r="7" spans="1:34" s="4" customFormat="1" ht="12" customHeight="1" x14ac:dyDescent="0.25">
      <c r="A7" s="422"/>
      <c r="B7" s="162"/>
      <c r="C7" s="184"/>
      <c r="D7" s="184"/>
      <c r="E7" s="184"/>
      <c r="F7" s="210"/>
      <c r="G7" s="144"/>
      <c r="H7" s="144"/>
      <c r="I7" s="956" t="str">
        <f>menu!X3</f>
        <v/>
      </c>
      <c r="J7" s="956"/>
      <c r="K7" s="956"/>
      <c r="L7" s="956"/>
      <c r="M7" s="956"/>
      <c r="N7" s="956"/>
      <c r="O7" s="956"/>
      <c r="P7" s="956"/>
      <c r="Q7" s="956"/>
      <c r="R7" s="1"/>
      <c r="S7" s="422"/>
      <c r="T7" s="422"/>
      <c r="U7" s="422"/>
      <c r="V7" s="422"/>
      <c r="W7" s="422"/>
      <c r="X7" s="435"/>
      <c r="Y7" s="435"/>
      <c r="Z7" s="435"/>
      <c r="AA7" s="435"/>
      <c r="AB7" s="422"/>
      <c r="AC7" s="422"/>
      <c r="AD7" s="422"/>
      <c r="AE7" s="422"/>
      <c r="AF7" s="422"/>
      <c r="AG7" s="422"/>
      <c r="AH7" s="422"/>
    </row>
    <row r="8" spans="1:34" s="1" customFormat="1" ht="14.25" customHeight="1" thickBot="1" x14ac:dyDescent="0.3">
      <c r="A8" s="421"/>
      <c r="B8" s="225"/>
      <c r="C8" s="979" t="s">
        <v>179</v>
      </c>
      <c r="D8" s="979"/>
      <c r="E8" s="979"/>
      <c r="F8" s="979"/>
      <c r="G8" s="979"/>
      <c r="H8" s="979"/>
      <c r="I8" s="956" t="str">
        <f>menu!X4</f>
        <v/>
      </c>
      <c r="J8" s="956"/>
      <c r="K8" s="956"/>
      <c r="L8" s="956"/>
      <c r="M8" s="956"/>
      <c r="N8" s="956"/>
      <c r="O8" s="956"/>
      <c r="P8" s="956"/>
      <c r="Q8" s="956"/>
      <c r="R8" s="956"/>
      <c r="S8" s="421"/>
      <c r="T8" s="421"/>
      <c r="U8" s="421"/>
      <c r="V8" s="421"/>
      <c r="W8" s="421"/>
      <c r="X8" s="943"/>
      <c r="Y8" s="943"/>
      <c r="Z8" s="943"/>
      <c r="AA8" s="943"/>
      <c r="AB8" s="421"/>
      <c r="AC8" s="421"/>
      <c r="AD8" s="421"/>
      <c r="AE8" s="421"/>
      <c r="AF8" s="421"/>
      <c r="AG8" s="421"/>
      <c r="AH8" s="421"/>
    </row>
    <row r="9" spans="1:34" s="1" customFormat="1" ht="30.75" customHeight="1" x14ac:dyDescent="0.25">
      <c r="A9" s="421"/>
      <c r="B9" s="225"/>
      <c r="C9" s="980" t="s">
        <v>297</v>
      </c>
      <c r="D9" s="981"/>
      <c r="E9" s="981"/>
      <c r="F9" s="981"/>
      <c r="G9" s="981"/>
      <c r="H9" s="981"/>
      <c r="I9" s="981"/>
      <c r="J9" s="981"/>
      <c r="K9" s="981"/>
      <c r="L9" s="471"/>
      <c r="M9" s="471"/>
      <c r="N9" s="976" t="s">
        <v>22</v>
      </c>
      <c r="O9" s="977"/>
      <c r="P9" s="477"/>
      <c r="S9" s="421"/>
      <c r="T9" s="562" t="str">
        <f>IF(OR(I7&lt;&gt;"",I8&lt;&gt;""),Texte!A44,"")</f>
        <v/>
      </c>
      <c r="U9" s="562"/>
      <c r="V9" s="562"/>
      <c r="W9" s="421"/>
      <c r="X9" s="943"/>
      <c r="Y9" s="943"/>
      <c r="Z9" s="943"/>
      <c r="AA9" s="943"/>
      <c r="AB9" s="421"/>
      <c r="AC9" s="421"/>
      <c r="AD9" s="421"/>
      <c r="AE9" s="421"/>
      <c r="AF9" s="421"/>
      <c r="AG9" s="421"/>
      <c r="AH9" s="421"/>
    </row>
    <row r="10" spans="1:34" s="1" customFormat="1" ht="12.75" customHeight="1" x14ac:dyDescent="0.25">
      <c r="A10" s="421"/>
      <c r="B10" s="259">
        <f>1</f>
        <v>1</v>
      </c>
      <c r="C10" s="969" t="s">
        <v>24</v>
      </c>
      <c r="D10" s="877"/>
      <c r="E10" s="970" t="s">
        <v>47</v>
      </c>
      <c r="F10" s="970"/>
      <c r="G10" s="970"/>
      <c r="H10" s="970"/>
      <c r="I10" s="970"/>
      <c r="J10" s="970"/>
      <c r="K10" s="420"/>
      <c r="L10" s="458"/>
      <c r="M10" s="458"/>
      <c r="N10" s="962">
        <f>N11</f>
        <v>0</v>
      </c>
      <c r="O10" s="963"/>
      <c r="P10" s="459"/>
      <c r="R10" s="404"/>
      <c r="S10" s="421"/>
      <c r="T10" s="562"/>
      <c r="U10" s="562"/>
      <c r="V10" s="562"/>
      <c r="W10" s="436"/>
      <c r="X10" s="436"/>
      <c r="Y10" s="430"/>
      <c r="Z10" s="430"/>
      <c r="AA10" s="430"/>
      <c r="AB10" s="421"/>
      <c r="AC10" s="421"/>
      <c r="AD10" s="421"/>
      <c r="AE10" s="421"/>
      <c r="AF10" s="421"/>
      <c r="AG10" s="421"/>
      <c r="AH10" s="421"/>
    </row>
    <row r="11" spans="1:34" s="1" customFormat="1" ht="12.75" customHeight="1" x14ac:dyDescent="0.35">
      <c r="A11" s="421"/>
      <c r="B11" s="259">
        <f>B10+1</f>
        <v>2</v>
      </c>
      <c r="C11" s="463"/>
      <c r="D11"/>
      <c r="E11"/>
      <c r="F11" s="944" t="s">
        <v>105</v>
      </c>
      <c r="G11" s="944"/>
      <c r="H11" s="944"/>
      <c r="I11" s="944"/>
      <c r="J11" s="944"/>
      <c r="K11" s="944"/>
      <c r="L11" s="456"/>
      <c r="M11" s="456"/>
      <c r="N11" s="957">
        <f>Begl_Öffentlichkeitsarbeit!L20</f>
        <v>0</v>
      </c>
      <c r="O11" s="958"/>
      <c r="P11" s="460"/>
      <c r="R11" s="404"/>
      <c r="S11" s="421"/>
      <c r="T11" s="562"/>
      <c r="U11" s="562"/>
      <c r="V11" s="562"/>
      <c r="W11" s="430"/>
      <c r="X11" s="430"/>
      <c r="Y11" s="429"/>
      <c r="Z11" s="429"/>
      <c r="AA11" s="429"/>
      <c r="AB11" s="421"/>
      <c r="AC11" s="421"/>
      <c r="AD11" s="421"/>
      <c r="AE11" s="421"/>
      <c r="AF11" s="421"/>
      <c r="AG11" s="421"/>
      <c r="AH11" s="421"/>
    </row>
    <row r="12" spans="1:34" s="1" customFormat="1" ht="12.75" customHeight="1" x14ac:dyDescent="0.25">
      <c r="A12" s="421"/>
      <c r="B12" s="259">
        <f t="shared" ref="B12:B17" si="0">B11+1</f>
        <v>3</v>
      </c>
      <c r="C12" s="947" t="s">
        <v>26</v>
      </c>
      <c r="D12" s="948"/>
      <c r="E12" s="948" t="s">
        <v>185</v>
      </c>
      <c r="F12" s="971"/>
      <c r="G12" s="971"/>
      <c r="H12" s="971"/>
      <c r="I12" s="971"/>
      <c r="J12" s="971"/>
      <c r="K12" s="971"/>
      <c r="L12" s="455"/>
      <c r="M12" s="455"/>
      <c r="N12" s="972">
        <f>SUM(N13:N14)</f>
        <v>0</v>
      </c>
      <c r="O12" s="973"/>
      <c r="P12" s="461"/>
      <c r="R12" s="404"/>
      <c r="S12" s="421"/>
      <c r="T12" s="562"/>
      <c r="U12" s="562"/>
      <c r="V12" s="562"/>
      <c r="W12" s="436"/>
      <c r="X12" s="436"/>
      <c r="Y12" s="429"/>
      <c r="Z12" s="429"/>
      <c r="AA12" s="429"/>
      <c r="AB12" s="421"/>
      <c r="AC12" s="421"/>
      <c r="AD12" s="421"/>
      <c r="AE12" s="421"/>
      <c r="AF12" s="421"/>
      <c r="AG12" s="421"/>
      <c r="AH12" s="421"/>
    </row>
    <row r="13" spans="1:34" s="1" customFormat="1" ht="12.75" customHeight="1" x14ac:dyDescent="0.35">
      <c r="A13" s="421"/>
      <c r="B13" s="259">
        <f t="shared" si="0"/>
        <v>4</v>
      </c>
      <c r="C13" s="143"/>
      <c r="D13"/>
      <c r="E13"/>
      <c r="F13" s="961" t="s">
        <v>605</v>
      </c>
      <c r="G13" s="961"/>
      <c r="H13" s="961"/>
      <c r="I13" s="961"/>
      <c r="J13" s="961"/>
      <c r="K13" s="961"/>
      <c r="L13" s="504"/>
      <c r="M13" s="504"/>
      <c r="N13" s="974">
        <f>SUM(Ausgabenkalkulation!L15:L23)</f>
        <v>0</v>
      </c>
      <c r="O13" s="975"/>
      <c r="P13" s="460"/>
      <c r="R13" s="404"/>
      <c r="S13" s="421"/>
      <c r="T13" s="562"/>
      <c r="U13" s="562"/>
      <c r="V13" s="562"/>
      <c r="W13" s="437"/>
      <c r="X13" s="437"/>
      <c r="Y13" s="429"/>
      <c r="Z13" s="429"/>
      <c r="AA13" s="429"/>
      <c r="AB13" s="421"/>
      <c r="AC13" s="421"/>
      <c r="AD13" s="421"/>
      <c r="AE13" s="421"/>
      <c r="AF13" s="421"/>
      <c r="AG13" s="421"/>
      <c r="AH13" s="421"/>
    </row>
    <row r="14" spans="1:34" s="1" customFormat="1" ht="12.75" customHeight="1" x14ac:dyDescent="0.35">
      <c r="A14" s="421"/>
      <c r="B14" s="259">
        <f t="shared" si="0"/>
        <v>5</v>
      </c>
      <c r="C14" s="497"/>
      <c r="D14" s="277"/>
      <c r="E14" s="277"/>
      <c r="F14" s="955" t="s">
        <v>105</v>
      </c>
      <c r="G14" s="955"/>
      <c r="H14" s="955"/>
      <c r="I14" s="955"/>
      <c r="J14" s="955"/>
      <c r="K14" s="955"/>
      <c r="L14" s="456"/>
      <c r="M14" s="505"/>
      <c r="N14" s="957">
        <f>Begl_Öffentlichkeitsarbeit!L35</f>
        <v>0</v>
      </c>
      <c r="O14" s="958"/>
      <c r="P14" s="460"/>
      <c r="R14" s="404"/>
      <c r="S14" s="421"/>
      <c r="T14" s="562"/>
      <c r="U14" s="562"/>
      <c r="V14" s="562"/>
      <c r="W14" s="429"/>
      <c r="X14" s="429"/>
      <c r="Y14" s="429"/>
      <c r="Z14" s="429"/>
      <c r="AA14" s="429"/>
      <c r="AB14" s="421"/>
      <c r="AC14" s="421"/>
      <c r="AD14" s="421"/>
      <c r="AE14" s="421"/>
      <c r="AF14" s="421"/>
      <c r="AG14" s="421"/>
      <c r="AH14" s="421"/>
    </row>
    <row r="15" spans="1:34" s="1" customFormat="1" ht="12.75" customHeight="1" x14ac:dyDescent="0.25">
      <c r="A15" s="421"/>
      <c r="B15" s="259">
        <f t="shared" si="0"/>
        <v>6</v>
      </c>
      <c r="C15" s="947" t="s">
        <v>25</v>
      </c>
      <c r="D15" s="948"/>
      <c r="E15" s="948" t="s">
        <v>224</v>
      </c>
      <c r="F15" s="949"/>
      <c r="G15" s="949"/>
      <c r="H15" s="949"/>
      <c r="I15" s="949"/>
      <c r="J15" s="949"/>
      <c r="K15" s="949"/>
      <c r="L15" s="455"/>
      <c r="M15" s="455"/>
      <c r="N15" s="972">
        <f>SUM(N16)</f>
        <v>0</v>
      </c>
      <c r="O15" s="973"/>
      <c r="P15" s="461"/>
      <c r="R15" s="404"/>
      <c r="S15" s="421"/>
      <c r="T15" s="562"/>
      <c r="U15" s="562"/>
      <c r="V15" s="562"/>
      <c r="W15" s="437"/>
      <c r="X15" s="437"/>
      <c r="Y15" s="437"/>
      <c r="Z15" s="437"/>
      <c r="AA15" s="437"/>
      <c r="AB15" s="421"/>
      <c r="AC15" s="421"/>
      <c r="AD15" s="421"/>
      <c r="AE15" s="421"/>
      <c r="AF15" s="421"/>
      <c r="AG15" s="421"/>
      <c r="AH15" s="421"/>
    </row>
    <row r="16" spans="1:34" s="1" customFormat="1" ht="12.75" customHeight="1" x14ac:dyDescent="0.35">
      <c r="A16" s="421"/>
      <c r="B16" s="259">
        <f t="shared" si="0"/>
        <v>7</v>
      </c>
      <c r="C16" s="143"/>
      <c r="D16"/>
      <c r="E16"/>
      <c r="F16" s="944" t="s">
        <v>105</v>
      </c>
      <c r="G16" s="944"/>
      <c r="H16" s="944"/>
      <c r="I16" s="944"/>
      <c r="J16" s="944"/>
      <c r="K16" s="944"/>
      <c r="L16" s="456"/>
      <c r="M16" s="456"/>
      <c r="N16" s="957">
        <f>Begl_Öffentlichkeitsarbeit!L40</f>
        <v>0</v>
      </c>
      <c r="O16" s="958"/>
      <c r="P16" s="460"/>
      <c r="R16" s="404"/>
      <c r="S16" s="421"/>
      <c r="T16" s="562"/>
      <c r="U16" s="562"/>
      <c r="V16" s="562"/>
      <c r="W16" s="437"/>
      <c r="X16" s="437"/>
      <c r="Y16" s="421"/>
      <c r="Z16" s="421"/>
      <c r="AA16" s="421"/>
      <c r="AB16" s="421"/>
      <c r="AC16" s="421"/>
      <c r="AD16" s="421"/>
      <c r="AE16" s="421"/>
      <c r="AF16" s="421"/>
      <c r="AG16" s="421"/>
      <c r="AH16" s="421"/>
    </row>
    <row r="17" spans="1:34" s="1" customFormat="1" ht="18" customHeight="1" thickBot="1" x14ac:dyDescent="0.3">
      <c r="A17" s="421"/>
      <c r="B17" s="259">
        <f t="shared" si="0"/>
        <v>8</v>
      </c>
      <c r="C17" s="945" t="s">
        <v>6</v>
      </c>
      <c r="D17" s="946"/>
      <c r="E17" s="946"/>
      <c r="F17" s="946"/>
      <c r="G17" s="946"/>
      <c r="H17" s="946"/>
      <c r="I17" s="946"/>
      <c r="J17" s="946"/>
      <c r="K17" s="946"/>
      <c r="L17" s="457"/>
      <c r="M17" s="457"/>
      <c r="N17" s="959">
        <f>N10+N12+N15</f>
        <v>0</v>
      </c>
      <c r="O17" s="960"/>
      <c r="P17" s="462"/>
      <c r="S17" s="421"/>
      <c r="T17" s="562"/>
      <c r="U17" s="562"/>
      <c r="V17" s="562"/>
      <c r="W17" s="421"/>
      <c r="X17" s="421"/>
      <c r="Y17" s="421"/>
      <c r="Z17" s="421"/>
      <c r="AA17" s="421"/>
      <c r="AB17" s="421"/>
      <c r="AC17" s="421"/>
      <c r="AD17" s="421"/>
      <c r="AE17" s="421"/>
      <c r="AF17" s="421"/>
      <c r="AG17" s="421"/>
      <c r="AH17" s="421"/>
    </row>
    <row r="18" spans="1:34" s="1" customFormat="1" ht="19.5" customHeight="1" x14ac:dyDescent="0.25">
      <c r="A18" s="421"/>
      <c r="C18" s="86"/>
      <c r="D18" s="86"/>
      <c r="E18" s="86"/>
      <c r="F18" s="86"/>
      <c r="G18" s="86"/>
      <c r="H18" s="86"/>
      <c r="I18" s="86"/>
      <c r="J18" s="86"/>
      <c r="K18" s="86"/>
      <c r="L18" s="86"/>
      <c r="M18" s="86"/>
      <c r="N18" s="86"/>
      <c r="O18" s="86"/>
      <c r="P18" s="86"/>
      <c r="Q18" s="86"/>
      <c r="S18" s="421"/>
      <c r="T18" s="562"/>
      <c r="U18" s="562"/>
      <c r="V18" s="562"/>
      <c r="W18" s="421"/>
      <c r="X18" s="421"/>
      <c r="Y18" s="421"/>
      <c r="Z18" s="421"/>
      <c r="AA18" s="421"/>
      <c r="AB18" s="421"/>
      <c r="AC18" s="421"/>
      <c r="AD18" s="421"/>
      <c r="AE18" s="421"/>
      <c r="AF18" s="421"/>
      <c r="AG18" s="421"/>
      <c r="AH18" s="421"/>
    </row>
    <row r="19" spans="1:34" s="1" customFormat="1" ht="20.5" customHeight="1" x14ac:dyDescent="0.25">
      <c r="A19" s="421"/>
      <c r="C19" s="966" t="s">
        <v>538</v>
      </c>
      <c r="D19" s="967"/>
      <c r="E19" s="967"/>
      <c r="F19" s="967"/>
      <c r="G19" s="967"/>
      <c r="H19" s="967"/>
      <c r="I19" s="967"/>
      <c r="J19" s="967"/>
      <c r="K19" s="967"/>
      <c r="L19" s="967"/>
      <c r="M19" s="967"/>
      <c r="N19" s="967"/>
      <c r="O19" s="967"/>
      <c r="P19" s="967"/>
      <c r="Q19" s="968"/>
      <c r="S19" s="421"/>
      <c r="T19" s="562"/>
      <c r="U19" s="562"/>
      <c r="V19" s="562"/>
      <c r="W19" s="421"/>
      <c r="X19" s="421"/>
      <c r="Y19" s="421"/>
      <c r="Z19" s="421"/>
      <c r="AA19" s="421"/>
      <c r="AB19" s="421"/>
      <c r="AC19" s="421"/>
      <c r="AD19" s="421"/>
      <c r="AE19" s="421"/>
      <c r="AF19" s="421"/>
      <c r="AG19" s="421"/>
      <c r="AH19" s="421"/>
    </row>
    <row r="20" spans="1:34" s="1" customFormat="1" ht="60" customHeight="1" x14ac:dyDescent="0.25">
      <c r="A20" s="421"/>
      <c r="C20" s="509"/>
      <c r="D20" s="953" t="s">
        <v>677</v>
      </c>
      <c r="E20" s="953"/>
      <c r="F20" s="953"/>
      <c r="G20" s="953"/>
      <c r="H20" s="953"/>
      <c r="I20" s="953"/>
      <c r="J20" s="953"/>
      <c r="K20" s="953"/>
      <c r="L20" s="953"/>
      <c r="M20" s="953"/>
      <c r="N20" s="953"/>
      <c r="O20" s="953"/>
      <c r="P20" s="964" t="s">
        <v>296</v>
      </c>
      <c r="Q20" s="965"/>
      <c r="R20" s="378"/>
      <c r="S20" s="438"/>
      <c r="T20" s="562"/>
      <c r="U20" s="562"/>
      <c r="V20" s="562"/>
      <c r="W20" s="438"/>
      <c r="X20" s="438"/>
      <c r="Y20" s="438"/>
      <c r="Z20" s="438"/>
      <c r="AA20" s="421"/>
      <c r="AB20" s="421"/>
      <c r="AC20" s="421"/>
      <c r="AD20" s="421"/>
      <c r="AE20" s="421"/>
      <c r="AF20" s="421"/>
      <c r="AG20" s="421"/>
      <c r="AH20" s="421"/>
    </row>
    <row r="21" spans="1:34" s="1" customFormat="1" ht="12" customHeight="1" x14ac:dyDescent="0.25">
      <c r="A21" s="421"/>
      <c r="C21" s="509" t="str">
        <f>IF(D21="","","•")</f>
        <v/>
      </c>
      <c r="D21" s="953" t="str">
        <f>IF(Basisdaten!I16=menu!AF4,Texte!A23,"")</f>
        <v/>
      </c>
      <c r="E21" s="953"/>
      <c r="F21" s="953"/>
      <c r="G21" s="953"/>
      <c r="H21" s="953"/>
      <c r="I21" s="953"/>
      <c r="J21" s="953"/>
      <c r="K21" s="953"/>
      <c r="L21" s="953"/>
      <c r="M21" s="953"/>
      <c r="N21" s="953"/>
      <c r="O21" s="953"/>
      <c r="P21" s="510"/>
      <c r="Q21" s="511"/>
      <c r="S21" s="421"/>
      <c r="T21" s="421"/>
      <c r="U21" s="421"/>
      <c r="V21" s="421"/>
      <c r="W21" s="421"/>
      <c r="X21" s="421"/>
      <c r="Y21" s="421"/>
      <c r="Z21" s="421"/>
      <c r="AA21" s="421"/>
      <c r="AB21" s="421"/>
      <c r="AC21" s="421"/>
      <c r="AD21" s="421"/>
      <c r="AE21" s="421"/>
      <c r="AF21" s="421"/>
      <c r="AG21" s="421"/>
      <c r="AH21" s="421"/>
    </row>
    <row r="22" spans="1:34" s="1" customFormat="1" ht="28.9" customHeight="1" x14ac:dyDescent="0.25">
      <c r="A22" s="421"/>
      <c r="C22" s="950" t="s">
        <v>675</v>
      </c>
      <c r="D22" s="951"/>
      <c r="E22" s="951"/>
      <c r="F22" s="951"/>
      <c r="G22" s="951"/>
      <c r="H22" s="951"/>
      <c r="I22" s="951"/>
      <c r="J22" s="951"/>
      <c r="K22" s="951"/>
      <c r="L22" s="951"/>
      <c r="M22" s="951"/>
      <c r="N22" s="951"/>
      <c r="O22" s="951"/>
      <c r="P22" s="951"/>
      <c r="Q22" s="952"/>
      <c r="S22" s="421"/>
      <c r="T22" s="421"/>
      <c r="U22" s="421"/>
      <c r="V22" s="421"/>
      <c r="W22" s="421"/>
      <c r="X22" s="421"/>
      <c r="Y22" s="421"/>
      <c r="Z22" s="421"/>
      <c r="AA22" s="421"/>
      <c r="AB22" s="421"/>
      <c r="AC22" s="421"/>
      <c r="AD22" s="421"/>
      <c r="AE22" s="421"/>
      <c r="AF22" s="421"/>
      <c r="AG22" s="421"/>
      <c r="AH22" s="421"/>
    </row>
    <row r="23" spans="1:34" s="1" customFormat="1" ht="19.5" customHeight="1" x14ac:dyDescent="0.25">
      <c r="A23" s="421"/>
      <c r="C23" s="954" t="str">
        <f>menu!Y2</f>
        <v/>
      </c>
      <c r="D23" s="954"/>
      <c r="E23" s="954"/>
      <c r="F23" s="954"/>
      <c r="G23" s="954"/>
      <c r="H23" s="954"/>
      <c r="I23" s="954"/>
      <c r="J23" s="954"/>
      <c r="K23" s="954"/>
      <c r="L23" s="954"/>
      <c r="M23" s="954"/>
      <c r="N23" s="954"/>
      <c r="O23" s="954"/>
      <c r="P23" s="954"/>
      <c r="Q23" s="954"/>
      <c r="S23" s="421"/>
      <c r="T23" s="439"/>
      <c r="U23" s="439"/>
      <c r="V23" s="439"/>
      <c r="W23" s="439"/>
      <c r="X23" s="439"/>
      <c r="Y23" s="439"/>
      <c r="Z23" s="439"/>
      <c r="AA23" s="439"/>
      <c r="AB23" s="439"/>
      <c r="AC23" s="439"/>
      <c r="AD23" s="439"/>
      <c r="AE23" s="439"/>
      <c r="AF23" s="439"/>
      <c r="AG23" s="439"/>
      <c r="AH23" s="439"/>
    </row>
    <row r="24" spans="1:34" s="1" customFormat="1" ht="5.25" customHeight="1" x14ac:dyDescent="0.25">
      <c r="A24" s="421"/>
      <c r="S24" s="421"/>
      <c r="T24" s="439"/>
      <c r="U24" s="439"/>
      <c r="V24" s="439"/>
      <c r="W24" s="439"/>
      <c r="X24" s="439"/>
      <c r="Y24" s="439"/>
      <c r="Z24" s="439"/>
      <c r="AA24" s="439"/>
      <c r="AB24" s="439"/>
      <c r="AC24" s="439"/>
      <c r="AD24" s="439"/>
      <c r="AE24" s="439"/>
      <c r="AF24" s="439"/>
      <c r="AG24" s="439"/>
      <c r="AH24" s="439"/>
    </row>
    <row r="25" spans="1:34" s="1" customFormat="1" ht="11.5" customHeight="1" x14ac:dyDescent="0.25">
      <c r="A25" s="421"/>
      <c r="C25" s="561" t="str">
        <f>Basisdaten!$C$46</f>
        <v>Vorhabenbeschreibung 
4.1.10 a): Erstellung eines 
Fokuskonzeptes 2509_V3</v>
      </c>
      <c r="D25" s="561"/>
      <c r="E25" s="561"/>
      <c r="F25" s="561"/>
      <c r="G25" s="561"/>
      <c r="H25" s="561"/>
      <c r="I25" s="561"/>
      <c r="J25" s="561"/>
      <c r="K25" s="561"/>
      <c r="L25" s="561"/>
      <c r="M25" s="561"/>
      <c r="N25" s="561"/>
      <c r="O25" s="561"/>
      <c r="P25" s="561"/>
      <c r="Q25" s="561"/>
      <c r="S25" s="421"/>
      <c r="T25" s="439"/>
      <c r="U25" s="439"/>
      <c r="V25" s="439"/>
      <c r="W25" s="439"/>
      <c r="X25" s="439"/>
      <c r="Y25" s="439"/>
      <c r="Z25" s="439"/>
      <c r="AA25" s="439"/>
      <c r="AB25" s="439"/>
      <c r="AC25" s="439"/>
      <c r="AD25" s="439"/>
      <c r="AE25" s="439"/>
      <c r="AF25" s="439"/>
      <c r="AG25" s="439"/>
      <c r="AH25" s="439"/>
    </row>
    <row r="26" spans="1:34" s="1" customFormat="1" ht="7.5" customHeight="1" x14ac:dyDescent="0.25">
      <c r="A26" s="421"/>
      <c r="B26" s="421"/>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row>
    <row r="27" spans="1:34" x14ac:dyDescent="0.35">
      <c r="A27" s="421"/>
      <c r="B27" s="421"/>
      <c r="C27" s="421"/>
      <c r="D27" s="421"/>
      <c r="E27" s="421"/>
      <c r="F27" s="421"/>
      <c r="G27" s="421"/>
      <c r="H27" s="421"/>
      <c r="I27" s="421"/>
      <c r="J27" s="421"/>
      <c r="K27" s="421"/>
      <c r="L27" s="421"/>
      <c r="M27" s="421"/>
      <c r="N27" s="421"/>
      <c r="O27" s="421"/>
      <c r="P27" s="421"/>
      <c r="Q27" s="421"/>
      <c r="R27" s="421"/>
      <c r="S27" s="440"/>
      <c r="T27" s="440"/>
      <c r="U27" s="440"/>
      <c r="V27" s="440"/>
      <c r="W27" s="440"/>
      <c r="X27" s="440"/>
      <c r="Y27" s="440"/>
      <c r="Z27" s="440"/>
      <c r="AA27" s="440"/>
      <c r="AB27" s="440"/>
      <c r="AC27" s="440"/>
      <c r="AD27" s="440"/>
      <c r="AE27" s="440"/>
      <c r="AF27" s="440"/>
      <c r="AG27" s="440"/>
      <c r="AH27" s="440"/>
    </row>
    <row r="28" spans="1:34" x14ac:dyDescent="0.35">
      <c r="A28" s="421"/>
      <c r="B28" s="421"/>
      <c r="C28" s="421"/>
      <c r="D28" s="421"/>
      <c r="E28" s="421"/>
      <c r="F28" s="421"/>
      <c r="G28" s="421"/>
      <c r="H28" s="421"/>
      <c r="I28" s="421"/>
      <c r="J28" s="421"/>
      <c r="K28" s="421"/>
      <c r="L28" s="421"/>
      <c r="M28" s="421"/>
      <c r="N28" s="421"/>
      <c r="O28" s="421"/>
      <c r="P28" s="421"/>
      <c r="Q28" s="421"/>
      <c r="R28" s="421"/>
      <c r="S28" s="440"/>
      <c r="T28" s="440"/>
      <c r="U28" s="440"/>
      <c r="V28" s="440"/>
      <c r="W28" s="440"/>
      <c r="X28" s="440"/>
      <c r="Y28" s="440"/>
      <c r="Z28" s="440"/>
      <c r="AA28" s="440"/>
      <c r="AB28" s="440"/>
      <c r="AC28" s="440"/>
      <c r="AD28" s="440"/>
      <c r="AE28" s="440"/>
      <c r="AF28" s="440"/>
      <c r="AG28" s="440"/>
      <c r="AH28" s="440"/>
    </row>
    <row r="29" spans="1:34" x14ac:dyDescent="0.35">
      <c r="A29" s="421"/>
      <c r="B29" s="421"/>
      <c r="C29" s="421"/>
      <c r="D29" s="421"/>
      <c r="E29" s="421"/>
      <c r="F29" s="421"/>
      <c r="G29" s="421"/>
      <c r="H29" s="421"/>
      <c r="I29" s="421"/>
      <c r="J29" s="421"/>
      <c r="K29" s="421"/>
      <c r="L29" s="421"/>
      <c r="M29" s="421"/>
      <c r="N29" s="421"/>
      <c r="O29" s="421"/>
      <c r="P29" s="421"/>
      <c r="Q29" s="421"/>
      <c r="R29" s="421"/>
      <c r="S29" s="440"/>
      <c r="T29" s="440"/>
      <c r="U29" s="440"/>
      <c r="V29" s="440"/>
      <c r="W29" s="440"/>
      <c r="X29" s="440"/>
      <c r="Y29" s="440"/>
      <c r="Z29" s="440"/>
      <c r="AA29" s="440"/>
      <c r="AB29" s="440"/>
      <c r="AC29" s="440"/>
      <c r="AD29" s="440"/>
      <c r="AE29" s="440"/>
      <c r="AF29" s="440"/>
      <c r="AG29" s="440"/>
      <c r="AH29" s="440"/>
    </row>
    <row r="30" spans="1:34" x14ac:dyDescent="0.35">
      <c r="A30" s="421"/>
      <c r="B30" s="421"/>
      <c r="C30" s="421"/>
      <c r="D30" s="421"/>
      <c r="E30" s="421"/>
      <c r="F30" s="421"/>
      <c r="G30" s="421"/>
      <c r="H30" s="421"/>
      <c r="I30" s="421"/>
      <c r="J30" s="421"/>
      <c r="K30" s="421"/>
      <c r="L30" s="421"/>
      <c r="M30" s="421"/>
      <c r="N30" s="421"/>
      <c r="O30" s="421"/>
      <c r="P30" s="421"/>
      <c r="Q30" s="421"/>
      <c r="R30" s="421"/>
      <c r="S30" s="440"/>
      <c r="T30" s="440"/>
      <c r="U30" s="440"/>
      <c r="V30" s="440"/>
      <c r="W30" s="440"/>
      <c r="X30" s="440"/>
      <c r="Y30" s="440"/>
      <c r="Z30" s="440"/>
      <c r="AA30" s="440"/>
      <c r="AB30" s="440"/>
      <c r="AC30" s="440"/>
      <c r="AD30" s="440"/>
      <c r="AE30" s="440"/>
      <c r="AF30" s="440"/>
      <c r="AG30" s="440"/>
      <c r="AH30" s="440"/>
    </row>
    <row r="31" spans="1:34" x14ac:dyDescent="0.35">
      <c r="A31" s="421"/>
      <c r="B31" s="421"/>
      <c r="C31" s="421"/>
      <c r="D31" s="421"/>
      <c r="E31" s="421"/>
      <c r="F31" s="421"/>
      <c r="G31" s="421"/>
      <c r="H31" s="421"/>
      <c r="I31" s="421"/>
      <c r="J31" s="421"/>
      <c r="K31" s="421"/>
      <c r="L31" s="421"/>
      <c r="M31" s="421"/>
      <c r="N31" s="421"/>
      <c r="O31" s="421"/>
      <c r="P31" s="421"/>
      <c r="Q31" s="421"/>
      <c r="R31" s="421"/>
      <c r="S31" s="440"/>
      <c r="T31" s="440"/>
      <c r="U31" s="440"/>
      <c r="V31" s="440"/>
      <c r="W31" s="440"/>
      <c r="X31" s="440"/>
      <c r="Y31" s="440"/>
      <c r="Z31" s="440"/>
      <c r="AA31" s="440"/>
      <c r="AB31" s="440"/>
      <c r="AC31" s="440"/>
      <c r="AD31" s="440"/>
      <c r="AE31" s="440"/>
      <c r="AF31" s="440"/>
      <c r="AG31" s="440"/>
      <c r="AH31" s="440"/>
    </row>
    <row r="32" spans="1:34" x14ac:dyDescent="0.35">
      <c r="A32" s="421"/>
      <c r="B32" s="421"/>
      <c r="C32" s="421"/>
      <c r="D32" s="421"/>
      <c r="E32" s="421"/>
      <c r="F32" s="421"/>
      <c r="G32" s="421"/>
      <c r="H32" s="421"/>
      <c r="I32" s="421"/>
      <c r="J32" s="421"/>
      <c r="K32" s="421"/>
      <c r="L32" s="421"/>
      <c r="M32" s="421"/>
      <c r="N32" s="421"/>
      <c r="O32" s="421"/>
      <c r="P32" s="421"/>
      <c r="Q32" s="421"/>
      <c r="R32" s="421"/>
      <c r="S32" s="440"/>
      <c r="T32" s="440"/>
      <c r="U32" s="440"/>
      <c r="V32" s="440"/>
      <c r="W32" s="440"/>
      <c r="X32" s="440"/>
      <c r="Y32" s="440"/>
      <c r="Z32" s="440"/>
      <c r="AA32" s="440"/>
      <c r="AB32" s="440"/>
      <c r="AC32" s="440"/>
      <c r="AD32" s="440"/>
      <c r="AE32" s="440"/>
      <c r="AF32" s="440"/>
      <c r="AG32" s="440"/>
      <c r="AH32" s="440"/>
    </row>
    <row r="33" spans="1:34" x14ac:dyDescent="0.35">
      <c r="A33" s="421"/>
      <c r="B33" s="421"/>
      <c r="C33" s="421"/>
      <c r="D33" s="421"/>
      <c r="E33" s="421"/>
      <c r="F33" s="421"/>
      <c r="G33" s="421"/>
      <c r="H33" s="421"/>
      <c r="I33" s="421"/>
      <c r="J33" s="421"/>
      <c r="K33" s="421"/>
      <c r="L33" s="421"/>
      <c r="M33" s="421"/>
      <c r="N33" s="421"/>
      <c r="O33" s="421"/>
      <c r="P33" s="421"/>
      <c r="Q33" s="421"/>
      <c r="R33" s="421"/>
      <c r="S33" s="440"/>
      <c r="T33" s="440"/>
      <c r="U33" s="440"/>
      <c r="V33" s="440"/>
      <c r="W33" s="440"/>
      <c r="X33" s="440"/>
      <c r="Y33" s="440"/>
      <c r="Z33" s="440"/>
      <c r="AA33" s="440"/>
      <c r="AB33" s="440"/>
      <c r="AC33" s="440"/>
      <c r="AD33" s="440"/>
      <c r="AE33" s="440"/>
      <c r="AF33" s="440"/>
      <c r="AG33" s="440"/>
      <c r="AH33" s="440"/>
    </row>
    <row r="34" spans="1:34" x14ac:dyDescent="0.35">
      <c r="A34" s="421"/>
      <c r="B34" s="421"/>
      <c r="C34" s="421"/>
      <c r="D34" s="421"/>
      <c r="E34" s="421"/>
      <c r="F34" s="421"/>
      <c r="G34" s="421"/>
      <c r="H34" s="421"/>
      <c r="I34" s="421"/>
      <c r="J34" s="421"/>
      <c r="K34" s="421"/>
      <c r="L34" s="421"/>
      <c r="M34" s="421"/>
      <c r="N34" s="421"/>
      <c r="O34" s="421"/>
      <c r="P34" s="421"/>
      <c r="Q34" s="421"/>
      <c r="R34" s="421"/>
      <c r="S34" s="440"/>
      <c r="T34" s="440"/>
      <c r="U34" s="440"/>
      <c r="V34" s="440"/>
      <c r="W34" s="440"/>
      <c r="X34" s="440"/>
      <c r="Y34" s="440"/>
      <c r="Z34" s="440"/>
      <c r="AA34" s="440"/>
      <c r="AB34" s="440"/>
      <c r="AC34" s="440"/>
      <c r="AD34" s="440"/>
      <c r="AE34" s="440"/>
      <c r="AF34" s="440"/>
      <c r="AG34" s="440"/>
      <c r="AH34" s="440"/>
    </row>
    <row r="35" spans="1:34" x14ac:dyDescent="0.35">
      <c r="A35" s="421"/>
      <c r="B35" s="421"/>
      <c r="C35" s="421"/>
      <c r="D35" s="421"/>
      <c r="E35" s="421"/>
      <c r="F35" s="421"/>
      <c r="G35" s="421"/>
      <c r="H35" s="421"/>
      <c r="I35" s="421"/>
      <c r="J35" s="421"/>
      <c r="K35" s="421"/>
      <c r="L35" s="421"/>
      <c r="M35" s="421"/>
      <c r="N35" s="421"/>
      <c r="O35" s="421"/>
      <c r="P35" s="421"/>
      <c r="Q35" s="421"/>
      <c r="R35" s="421"/>
      <c r="S35" s="440"/>
      <c r="T35" s="440"/>
      <c r="U35" s="440"/>
      <c r="V35" s="440"/>
      <c r="W35" s="440"/>
      <c r="X35" s="440"/>
      <c r="Y35" s="440"/>
      <c r="Z35" s="440"/>
      <c r="AA35" s="440"/>
      <c r="AB35" s="440"/>
      <c r="AC35" s="440"/>
      <c r="AD35" s="440"/>
      <c r="AE35" s="440"/>
      <c r="AF35" s="440"/>
      <c r="AG35" s="440"/>
      <c r="AH35" s="440"/>
    </row>
    <row r="36" spans="1:34" x14ac:dyDescent="0.35">
      <c r="A36" s="421"/>
      <c r="B36" s="421"/>
      <c r="C36" s="421"/>
      <c r="D36" s="421"/>
      <c r="E36" s="421"/>
      <c r="F36" s="421"/>
      <c r="G36" s="421"/>
      <c r="H36" s="421"/>
      <c r="I36" s="421"/>
      <c r="J36" s="421"/>
      <c r="K36" s="421"/>
      <c r="L36" s="421"/>
      <c r="M36" s="421"/>
      <c r="N36" s="421"/>
      <c r="O36" s="421"/>
      <c r="P36" s="421"/>
      <c r="Q36" s="421"/>
      <c r="R36" s="421"/>
      <c r="S36" s="440"/>
      <c r="T36" s="440"/>
      <c r="U36" s="440"/>
      <c r="V36" s="440"/>
      <c r="W36" s="440"/>
      <c r="X36" s="440"/>
      <c r="Y36" s="440"/>
      <c r="Z36" s="440"/>
      <c r="AA36" s="440"/>
      <c r="AB36" s="440"/>
      <c r="AC36" s="440"/>
      <c r="AD36" s="440"/>
      <c r="AE36" s="440"/>
      <c r="AF36" s="440"/>
      <c r="AG36" s="440"/>
      <c r="AH36" s="440"/>
    </row>
    <row r="37" spans="1:34" x14ac:dyDescent="0.35">
      <c r="A37" s="421"/>
      <c r="B37" s="421"/>
      <c r="C37" s="421"/>
      <c r="D37" s="421"/>
      <c r="E37" s="421"/>
      <c r="F37" s="421"/>
      <c r="G37" s="421"/>
      <c r="H37" s="421"/>
      <c r="I37" s="421"/>
      <c r="J37" s="421"/>
      <c r="K37" s="421"/>
      <c r="L37" s="421"/>
      <c r="M37" s="421"/>
      <c r="N37" s="421"/>
      <c r="O37" s="421"/>
      <c r="P37" s="421"/>
      <c r="Q37" s="421"/>
      <c r="R37" s="421"/>
      <c r="S37" s="440"/>
      <c r="T37" s="440"/>
      <c r="U37" s="440"/>
      <c r="V37" s="440"/>
      <c r="W37" s="440"/>
      <c r="X37" s="440"/>
      <c r="Y37" s="440"/>
      <c r="Z37" s="440"/>
      <c r="AA37" s="440"/>
      <c r="AB37" s="440"/>
      <c r="AC37" s="440"/>
      <c r="AD37" s="440"/>
      <c r="AE37" s="440"/>
      <c r="AF37" s="440"/>
      <c r="AG37" s="440"/>
      <c r="AH37" s="440"/>
    </row>
    <row r="38" spans="1:34" x14ac:dyDescent="0.35">
      <c r="A38" s="421"/>
      <c r="B38" s="421"/>
      <c r="C38" s="421"/>
      <c r="D38" s="421"/>
      <c r="E38" s="421"/>
      <c r="F38" s="421"/>
      <c r="G38" s="421"/>
      <c r="H38" s="421"/>
      <c r="I38" s="421"/>
      <c r="J38" s="421"/>
      <c r="K38" s="421"/>
      <c r="L38" s="421"/>
      <c r="M38" s="421"/>
      <c r="N38" s="421"/>
      <c r="O38" s="421"/>
      <c r="P38" s="421"/>
      <c r="Q38" s="421"/>
      <c r="R38" s="421"/>
      <c r="S38" s="440"/>
      <c r="T38" s="440"/>
      <c r="U38" s="440"/>
      <c r="V38" s="440"/>
      <c r="W38" s="440"/>
      <c r="X38" s="440"/>
      <c r="Y38" s="440"/>
      <c r="Z38" s="440"/>
      <c r="AA38" s="440"/>
      <c r="AB38" s="440"/>
      <c r="AC38" s="440"/>
      <c r="AD38" s="440"/>
      <c r="AE38" s="440"/>
      <c r="AF38" s="440"/>
      <c r="AG38" s="440"/>
      <c r="AH38" s="440"/>
    </row>
    <row r="39" spans="1:34" x14ac:dyDescent="0.35">
      <c r="A39" s="421"/>
      <c r="B39" s="421"/>
      <c r="C39" s="421"/>
      <c r="D39" s="421"/>
      <c r="E39" s="421"/>
      <c r="F39" s="421"/>
      <c r="G39" s="421"/>
      <c r="H39" s="421"/>
      <c r="I39" s="421"/>
      <c r="J39" s="421"/>
      <c r="K39" s="421"/>
      <c r="L39" s="421"/>
      <c r="M39" s="421"/>
      <c r="N39" s="421"/>
      <c r="O39" s="421"/>
      <c r="P39" s="421"/>
      <c r="Q39" s="421"/>
      <c r="R39" s="421"/>
      <c r="S39" s="440"/>
      <c r="T39" s="440"/>
      <c r="U39" s="440"/>
      <c r="V39" s="440"/>
      <c r="W39" s="440"/>
      <c r="X39" s="440"/>
      <c r="Y39" s="440"/>
      <c r="Z39" s="440"/>
      <c r="AA39" s="440"/>
      <c r="AB39" s="440"/>
      <c r="AC39" s="440"/>
      <c r="AD39" s="440"/>
      <c r="AE39" s="440"/>
      <c r="AF39" s="440"/>
      <c r="AG39" s="440"/>
      <c r="AH39" s="440"/>
    </row>
    <row r="40" spans="1:34" x14ac:dyDescent="0.35">
      <c r="A40" s="421"/>
      <c r="B40" s="421"/>
      <c r="C40" s="421"/>
      <c r="D40" s="421"/>
      <c r="E40" s="421"/>
      <c r="F40" s="421"/>
      <c r="G40" s="421"/>
      <c r="H40" s="421"/>
      <c r="I40" s="421"/>
      <c r="J40" s="421"/>
      <c r="K40" s="421"/>
      <c r="L40" s="421"/>
      <c r="M40" s="421"/>
      <c r="N40" s="421"/>
      <c r="O40" s="421"/>
      <c r="P40" s="421"/>
      <c r="Q40" s="421"/>
      <c r="R40" s="421"/>
      <c r="S40" s="440"/>
      <c r="T40" s="440"/>
      <c r="U40" s="440"/>
      <c r="V40" s="440"/>
      <c r="W40" s="440"/>
      <c r="X40" s="440"/>
      <c r="Y40" s="440"/>
      <c r="Z40" s="440"/>
      <c r="AA40" s="440"/>
      <c r="AB40" s="440"/>
      <c r="AC40" s="440"/>
      <c r="AD40" s="440"/>
      <c r="AE40" s="440"/>
      <c r="AF40" s="440"/>
      <c r="AG40" s="440"/>
      <c r="AH40" s="440"/>
    </row>
    <row r="41" spans="1:34" x14ac:dyDescent="0.35">
      <c r="A41" s="421"/>
      <c r="B41" s="421"/>
      <c r="C41" s="421"/>
      <c r="D41" s="421"/>
      <c r="E41" s="421"/>
      <c r="F41" s="421"/>
      <c r="G41" s="421"/>
      <c r="H41" s="421"/>
      <c r="I41" s="421"/>
      <c r="J41" s="421"/>
      <c r="K41" s="421"/>
      <c r="L41" s="421"/>
      <c r="M41" s="421"/>
      <c r="N41" s="421"/>
      <c r="O41" s="421"/>
      <c r="P41" s="421"/>
      <c r="Q41" s="421"/>
      <c r="R41" s="421"/>
      <c r="S41" s="440"/>
      <c r="T41" s="440"/>
      <c r="U41" s="440"/>
      <c r="V41" s="440"/>
      <c r="W41" s="440"/>
      <c r="X41" s="440"/>
      <c r="Y41" s="440"/>
      <c r="Z41" s="440"/>
      <c r="AA41" s="440"/>
      <c r="AB41" s="440"/>
      <c r="AC41" s="440"/>
      <c r="AD41" s="440"/>
      <c r="AE41" s="440"/>
      <c r="AF41" s="440"/>
      <c r="AG41" s="440"/>
      <c r="AH41" s="440"/>
    </row>
    <row r="42" spans="1:34" x14ac:dyDescent="0.35">
      <c r="A42" s="421"/>
      <c r="B42" s="421"/>
      <c r="C42" s="421"/>
      <c r="D42" s="421"/>
      <c r="E42" s="421"/>
      <c r="F42" s="421"/>
      <c r="G42" s="421"/>
      <c r="H42" s="421"/>
      <c r="I42" s="421"/>
      <c r="J42" s="421"/>
      <c r="K42" s="421"/>
      <c r="L42" s="421"/>
      <c r="M42" s="421"/>
      <c r="N42" s="421"/>
      <c r="O42" s="421"/>
      <c r="P42" s="421"/>
      <c r="Q42" s="421"/>
      <c r="R42" s="421"/>
      <c r="S42" s="440"/>
      <c r="T42" s="440"/>
      <c r="U42" s="440"/>
      <c r="V42" s="440"/>
      <c r="W42" s="440"/>
      <c r="X42" s="440"/>
      <c r="Y42" s="440"/>
      <c r="Z42" s="440"/>
      <c r="AA42" s="440"/>
      <c r="AB42" s="440"/>
      <c r="AC42" s="440"/>
      <c r="AD42" s="440"/>
      <c r="AE42" s="440"/>
      <c r="AF42" s="440"/>
      <c r="AG42" s="440"/>
      <c r="AH42" s="440"/>
    </row>
    <row r="43" spans="1:34" x14ac:dyDescent="0.35">
      <c r="A43" s="421"/>
      <c r="B43" s="421"/>
      <c r="C43" s="421"/>
      <c r="D43" s="421"/>
      <c r="E43" s="421"/>
      <c r="F43" s="421"/>
      <c r="G43" s="421"/>
      <c r="H43" s="421"/>
      <c r="I43" s="421"/>
      <c r="J43" s="421"/>
      <c r="K43" s="421"/>
      <c r="L43" s="421"/>
      <c r="M43" s="421"/>
      <c r="N43" s="421"/>
      <c r="O43" s="421"/>
      <c r="P43" s="421"/>
      <c r="Q43" s="421"/>
      <c r="R43" s="421"/>
      <c r="S43" s="440"/>
      <c r="T43" s="440"/>
      <c r="U43" s="440"/>
      <c r="V43" s="440"/>
      <c r="W43" s="440"/>
      <c r="X43" s="440"/>
      <c r="Y43" s="440"/>
      <c r="Z43" s="440"/>
      <c r="AA43" s="440"/>
      <c r="AB43" s="440"/>
      <c r="AC43" s="440"/>
      <c r="AD43" s="440"/>
      <c r="AE43" s="440"/>
      <c r="AF43" s="440"/>
      <c r="AG43" s="440"/>
      <c r="AH43" s="440"/>
    </row>
    <row r="44" spans="1:34" x14ac:dyDescent="0.35">
      <c r="A44" s="421"/>
      <c r="B44" s="421"/>
      <c r="C44" s="421"/>
      <c r="D44" s="421"/>
      <c r="E44" s="421"/>
      <c r="F44" s="421"/>
      <c r="G44" s="421"/>
      <c r="H44" s="421"/>
      <c r="I44" s="421"/>
      <c r="J44" s="421"/>
      <c r="K44" s="421"/>
      <c r="L44" s="421"/>
      <c r="M44" s="421"/>
      <c r="N44" s="421"/>
      <c r="O44" s="421"/>
      <c r="P44" s="421"/>
      <c r="Q44" s="421"/>
      <c r="R44" s="421"/>
      <c r="S44" s="440"/>
      <c r="T44" s="440"/>
      <c r="U44" s="440"/>
      <c r="V44" s="440"/>
      <c r="W44" s="440"/>
      <c r="X44" s="440"/>
      <c r="Y44" s="440"/>
      <c r="Z44" s="440"/>
      <c r="AA44" s="440"/>
      <c r="AB44" s="440"/>
      <c r="AC44" s="440"/>
      <c r="AD44" s="440"/>
      <c r="AE44" s="440"/>
      <c r="AF44" s="440"/>
      <c r="AG44" s="440"/>
      <c r="AH44" s="440"/>
    </row>
    <row r="45" spans="1:34" x14ac:dyDescent="0.35">
      <c r="A45" s="421"/>
      <c r="B45" s="421"/>
      <c r="C45" s="421"/>
      <c r="D45" s="421"/>
      <c r="E45" s="421"/>
      <c r="F45" s="421"/>
      <c r="G45" s="421"/>
      <c r="H45" s="421"/>
      <c r="I45" s="421"/>
      <c r="J45" s="421"/>
      <c r="K45" s="421"/>
      <c r="L45" s="421"/>
      <c r="M45" s="421"/>
      <c r="N45" s="421"/>
      <c r="O45" s="421"/>
      <c r="P45" s="421"/>
      <c r="Q45" s="421"/>
      <c r="R45" s="421"/>
      <c r="S45" s="440"/>
      <c r="T45" s="440"/>
      <c r="U45" s="440"/>
      <c r="V45" s="440"/>
      <c r="W45" s="440"/>
      <c r="X45" s="440"/>
      <c r="Y45" s="440"/>
      <c r="Z45" s="440"/>
      <c r="AA45" s="440"/>
      <c r="AB45" s="440"/>
      <c r="AC45" s="440"/>
      <c r="AD45" s="440"/>
      <c r="AE45" s="440"/>
      <c r="AF45" s="440"/>
      <c r="AG45" s="440"/>
      <c r="AH45" s="440"/>
    </row>
    <row r="46" spans="1:34" x14ac:dyDescent="0.35">
      <c r="A46" s="421"/>
      <c r="B46" s="421"/>
      <c r="C46" s="421"/>
      <c r="D46" s="421"/>
      <c r="E46" s="421"/>
      <c r="F46" s="421"/>
      <c r="G46" s="421"/>
      <c r="H46" s="421"/>
      <c r="I46" s="421"/>
      <c r="J46" s="421"/>
      <c r="K46" s="421"/>
      <c r="L46" s="421"/>
      <c r="M46" s="421"/>
      <c r="N46" s="421"/>
      <c r="O46" s="421"/>
      <c r="P46" s="421"/>
      <c r="Q46" s="421"/>
      <c r="R46" s="421"/>
      <c r="S46" s="440"/>
      <c r="T46" s="440"/>
      <c r="U46" s="440"/>
      <c r="V46" s="440"/>
      <c r="W46" s="440"/>
      <c r="X46" s="440"/>
      <c r="Y46" s="440"/>
      <c r="Z46" s="440"/>
      <c r="AA46" s="440"/>
      <c r="AB46" s="440"/>
      <c r="AC46" s="440"/>
      <c r="AD46" s="440"/>
      <c r="AE46" s="440"/>
      <c r="AF46" s="440"/>
      <c r="AG46" s="440"/>
      <c r="AH46" s="440"/>
    </row>
    <row r="47" spans="1:34" x14ac:dyDescent="0.35">
      <c r="A47" s="421"/>
      <c r="B47" s="421"/>
      <c r="C47" s="421"/>
      <c r="D47" s="421"/>
      <c r="E47" s="421"/>
      <c r="F47" s="421"/>
      <c r="G47" s="421"/>
      <c r="H47" s="421"/>
      <c r="I47" s="421"/>
      <c r="J47" s="421"/>
      <c r="K47" s="421"/>
      <c r="L47" s="421"/>
      <c r="M47" s="421"/>
      <c r="N47" s="421"/>
      <c r="O47" s="421"/>
      <c r="P47" s="421"/>
      <c r="Q47" s="421"/>
      <c r="R47" s="421"/>
      <c r="S47" s="440"/>
      <c r="T47" s="440"/>
      <c r="U47" s="440"/>
      <c r="V47" s="440"/>
      <c r="W47" s="440"/>
      <c r="X47" s="440"/>
      <c r="Y47" s="440"/>
      <c r="Z47" s="440"/>
      <c r="AA47" s="440"/>
      <c r="AB47" s="440"/>
      <c r="AC47" s="440"/>
      <c r="AD47" s="440"/>
      <c r="AE47" s="440"/>
      <c r="AF47" s="440"/>
      <c r="AG47" s="440"/>
      <c r="AH47" s="440"/>
    </row>
    <row r="48" spans="1:34" x14ac:dyDescent="0.35">
      <c r="A48" s="421"/>
      <c r="B48" s="421"/>
      <c r="C48" s="421"/>
      <c r="D48" s="421"/>
      <c r="E48" s="421"/>
      <c r="F48" s="421"/>
      <c r="G48" s="421"/>
      <c r="H48" s="421"/>
      <c r="I48" s="421"/>
      <c r="J48" s="421"/>
      <c r="K48" s="421"/>
      <c r="L48" s="421"/>
      <c r="M48" s="421"/>
      <c r="N48" s="421"/>
      <c r="O48" s="421"/>
      <c r="P48" s="421"/>
      <c r="Q48" s="421"/>
      <c r="R48" s="421"/>
      <c r="S48" s="440"/>
      <c r="T48" s="440"/>
      <c r="U48" s="440"/>
      <c r="V48" s="440"/>
      <c r="W48" s="440"/>
      <c r="X48" s="440"/>
      <c r="Y48" s="440"/>
      <c r="Z48" s="440"/>
      <c r="AA48" s="440"/>
      <c r="AB48" s="440"/>
      <c r="AC48" s="440"/>
      <c r="AD48" s="440"/>
      <c r="AE48" s="440"/>
      <c r="AF48" s="440"/>
      <c r="AG48" s="440"/>
      <c r="AH48" s="440"/>
    </row>
    <row r="49" spans="1:34" x14ac:dyDescent="0.35">
      <c r="A49" s="421"/>
      <c r="B49" s="421"/>
      <c r="C49" s="421"/>
      <c r="D49" s="421"/>
      <c r="E49" s="421"/>
      <c r="F49" s="421"/>
      <c r="G49" s="421"/>
      <c r="H49" s="421"/>
      <c r="I49" s="421"/>
      <c r="J49" s="421"/>
      <c r="K49" s="421"/>
      <c r="L49" s="421"/>
      <c r="M49" s="421"/>
      <c r="N49" s="421"/>
      <c r="O49" s="421"/>
      <c r="P49" s="421"/>
      <c r="Q49" s="421"/>
      <c r="R49" s="421"/>
      <c r="S49" s="440"/>
      <c r="T49" s="440"/>
      <c r="U49" s="440"/>
      <c r="V49" s="440"/>
      <c r="W49" s="440"/>
      <c r="X49" s="440"/>
      <c r="Y49" s="440"/>
      <c r="Z49" s="440"/>
      <c r="AA49" s="440"/>
      <c r="AB49" s="440"/>
      <c r="AC49" s="440"/>
      <c r="AD49" s="440"/>
      <c r="AE49" s="440"/>
      <c r="AF49" s="440"/>
      <c r="AG49" s="440"/>
      <c r="AH49" s="440"/>
    </row>
    <row r="50" spans="1:34" x14ac:dyDescent="0.35">
      <c r="A50" s="421"/>
      <c r="B50" s="421"/>
      <c r="C50" s="421"/>
      <c r="D50" s="421"/>
      <c r="E50" s="421"/>
      <c r="F50" s="421"/>
      <c r="G50" s="421"/>
      <c r="H50" s="421"/>
      <c r="I50" s="421"/>
      <c r="J50" s="421"/>
      <c r="K50" s="421"/>
      <c r="L50" s="421"/>
      <c r="M50" s="421"/>
      <c r="N50" s="421"/>
      <c r="O50" s="421"/>
      <c r="P50" s="421"/>
      <c r="Q50" s="421"/>
      <c r="R50" s="421"/>
      <c r="S50" s="440"/>
      <c r="T50" s="440"/>
      <c r="U50" s="440"/>
      <c r="V50" s="440"/>
      <c r="W50" s="440"/>
      <c r="X50" s="440"/>
      <c r="Y50" s="440"/>
      <c r="Z50" s="440"/>
      <c r="AA50" s="440"/>
      <c r="AB50" s="440"/>
      <c r="AC50" s="440"/>
      <c r="AD50" s="440"/>
      <c r="AE50" s="440"/>
      <c r="AF50" s="440"/>
      <c r="AG50" s="440"/>
      <c r="AH50" s="440"/>
    </row>
    <row r="51" spans="1:34" x14ac:dyDescent="0.35">
      <c r="A51" s="421"/>
      <c r="B51" s="421"/>
      <c r="C51" s="421"/>
      <c r="D51" s="421"/>
      <c r="E51" s="421"/>
      <c r="F51" s="421"/>
      <c r="G51" s="421"/>
      <c r="H51" s="421"/>
      <c r="I51" s="421"/>
      <c r="J51" s="421"/>
      <c r="K51" s="421"/>
      <c r="L51" s="421"/>
      <c r="M51" s="421"/>
      <c r="N51" s="421"/>
      <c r="O51" s="421"/>
      <c r="P51" s="421"/>
      <c r="Q51" s="421"/>
      <c r="R51" s="421"/>
      <c r="S51" s="440"/>
      <c r="T51" s="440"/>
      <c r="U51" s="440"/>
      <c r="V51" s="440"/>
      <c r="W51" s="440"/>
      <c r="X51" s="440"/>
      <c r="Y51" s="440"/>
      <c r="Z51" s="440"/>
      <c r="AA51" s="440"/>
      <c r="AB51" s="440"/>
      <c r="AC51" s="440"/>
      <c r="AD51" s="440"/>
      <c r="AE51" s="440"/>
      <c r="AF51" s="440"/>
      <c r="AG51" s="440"/>
      <c r="AH51" s="440"/>
    </row>
    <row r="52" spans="1:34" x14ac:dyDescent="0.35">
      <c r="A52" s="421"/>
      <c r="B52" s="421"/>
      <c r="C52" s="421"/>
      <c r="D52" s="421"/>
      <c r="E52" s="421"/>
      <c r="F52" s="421"/>
      <c r="G52" s="421"/>
      <c r="H52" s="421"/>
      <c r="I52" s="421"/>
      <c r="J52" s="421"/>
      <c r="K52" s="421"/>
      <c r="L52" s="421"/>
      <c r="M52" s="421"/>
      <c r="N52" s="421"/>
      <c r="O52" s="421"/>
      <c r="P52" s="421"/>
      <c r="Q52" s="421"/>
      <c r="R52" s="421"/>
      <c r="S52" s="440"/>
      <c r="T52" s="440"/>
      <c r="U52" s="440"/>
      <c r="V52" s="440"/>
      <c r="W52" s="440"/>
      <c r="X52" s="440"/>
      <c r="Y52" s="440"/>
      <c r="Z52" s="440"/>
      <c r="AA52" s="440"/>
      <c r="AB52" s="440"/>
      <c r="AC52" s="440"/>
      <c r="AD52" s="440"/>
      <c r="AE52" s="440"/>
      <c r="AF52" s="440"/>
      <c r="AG52" s="440"/>
      <c r="AH52" s="440"/>
    </row>
    <row r="53" spans="1:34" x14ac:dyDescent="0.35">
      <c r="A53" s="421"/>
      <c r="B53" s="421"/>
      <c r="C53" s="421"/>
      <c r="D53" s="421"/>
      <c r="E53" s="421"/>
      <c r="F53" s="421"/>
      <c r="G53" s="421"/>
      <c r="H53" s="421"/>
      <c r="I53" s="421"/>
      <c r="J53" s="421"/>
      <c r="K53" s="421"/>
      <c r="L53" s="421"/>
      <c r="M53" s="421"/>
      <c r="N53" s="421"/>
      <c r="O53" s="421"/>
      <c r="P53" s="421"/>
      <c r="Q53" s="421"/>
      <c r="R53" s="421"/>
      <c r="S53" s="440"/>
      <c r="T53" s="440"/>
      <c r="U53" s="440"/>
      <c r="V53" s="440"/>
      <c r="W53" s="440"/>
      <c r="X53" s="440"/>
      <c r="Y53" s="440"/>
      <c r="Z53" s="440"/>
      <c r="AA53" s="440"/>
      <c r="AB53" s="440"/>
      <c r="AC53" s="440"/>
      <c r="AD53" s="440"/>
      <c r="AE53" s="440"/>
      <c r="AF53" s="440"/>
      <c r="AG53" s="440"/>
      <c r="AH53" s="440"/>
    </row>
    <row r="54" spans="1:34" x14ac:dyDescent="0.35">
      <c r="A54" s="421"/>
      <c r="B54" s="421"/>
      <c r="C54" s="421"/>
      <c r="D54" s="421"/>
      <c r="E54" s="421"/>
      <c r="F54" s="421"/>
      <c r="G54" s="421"/>
      <c r="H54" s="421"/>
      <c r="I54" s="421"/>
      <c r="J54" s="421"/>
      <c r="K54" s="421"/>
      <c r="L54" s="421"/>
      <c r="M54" s="421"/>
      <c r="N54" s="421"/>
      <c r="O54" s="421"/>
      <c r="P54" s="421"/>
      <c r="Q54" s="421"/>
      <c r="R54" s="421"/>
      <c r="S54" s="440"/>
      <c r="T54" s="440"/>
      <c r="U54" s="440"/>
      <c r="V54" s="440"/>
      <c r="W54" s="440"/>
      <c r="X54" s="440"/>
      <c r="Y54" s="440"/>
      <c r="Z54" s="440"/>
      <c r="AA54" s="440"/>
      <c r="AB54" s="440"/>
      <c r="AC54" s="440"/>
      <c r="AD54" s="440"/>
      <c r="AE54" s="440"/>
      <c r="AF54" s="440"/>
      <c r="AG54" s="440"/>
      <c r="AH54" s="440"/>
    </row>
    <row r="55" spans="1:34" x14ac:dyDescent="0.35">
      <c r="A55" s="421"/>
      <c r="B55" s="421"/>
      <c r="C55" s="421"/>
      <c r="D55" s="421"/>
      <c r="E55" s="421"/>
      <c r="F55" s="421"/>
      <c r="G55" s="421"/>
      <c r="H55" s="421"/>
      <c r="I55" s="421"/>
      <c r="J55" s="421"/>
      <c r="K55" s="421"/>
      <c r="L55" s="421"/>
      <c r="M55" s="421"/>
      <c r="N55" s="421"/>
      <c r="O55" s="421"/>
      <c r="P55" s="421"/>
      <c r="Q55" s="421"/>
      <c r="R55" s="421"/>
      <c r="S55" s="440"/>
      <c r="T55" s="440"/>
      <c r="U55" s="440"/>
      <c r="V55" s="440"/>
      <c r="W55" s="440"/>
      <c r="X55" s="440"/>
      <c r="Y55" s="440"/>
      <c r="Z55" s="440"/>
      <c r="AA55" s="440"/>
      <c r="AB55" s="440"/>
      <c r="AC55" s="440"/>
      <c r="AD55" s="440"/>
      <c r="AE55" s="440"/>
      <c r="AF55" s="440"/>
      <c r="AG55" s="440"/>
      <c r="AH55" s="440"/>
    </row>
    <row r="56" spans="1:34" x14ac:dyDescent="0.35">
      <c r="A56" s="421"/>
      <c r="B56" s="421"/>
      <c r="C56" s="421"/>
      <c r="D56" s="421"/>
      <c r="E56" s="421"/>
      <c r="F56" s="421"/>
      <c r="G56" s="421"/>
      <c r="H56" s="421"/>
      <c r="I56" s="421"/>
      <c r="J56" s="421"/>
      <c r="K56" s="421"/>
      <c r="L56" s="421"/>
      <c r="M56" s="421"/>
      <c r="N56" s="421"/>
      <c r="O56" s="421"/>
      <c r="P56" s="421"/>
      <c r="Q56" s="421"/>
      <c r="R56" s="421"/>
      <c r="S56" s="440"/>
      <c r="T56" s="440"/>
      <c r="U56" s="440"/>
      <c r="V56" s="440"/>
      <c r="W56" s="440"/>
      <c r="X56" s="440"/>
      <c r="Y56" s="440"/>
      <c r="Z56" s="440"/>
      <c r="AA56" s="440"/>
      <c r="AB56" s="440"/>
      <c r="AC56" s="440"/>
      <c r="AD56" s="440"/>
      <c r="AE56" s="440"/>
      <c r="AF56" s="440"/>
      <c r="AG56" s="440"/>
      <c r="AH56" s="440"/>
    </row>
    <row r="57" spans="1:34" x14ac:dyDescent="0.35">
      <c r="A57" s="421"/>
      <c r="B57" s="421"/>
      <c r="C57" s="421"/>
      <c r="D57" s="421"/>
      <c r="E57" s="421"/>
      <c r="F57" s="421"/>
      <c r="G57" s="421"/>
      <c r="H57" s="421"/>
      <c r="I57" s="421"/>
      <c r="J57" s="421"/>
      <c r="K57" s="421"/>
      <c r="L57" s="421"/>
      <c r="M57" s="421"/>
      <c r="N57" s="421"/>
      <c r="O57" s="421"/>
      <c r="P57" s="421"/>
      <c r="Q57" s="421"/>
      <c r="R57" s="421"/>
      <c r="S57" s="440"/>
      <c r="T57" s="440"/>
      <c r="U57" s="440"/>
      <c r="V57" s="440"/>
      <c r="W57" s="440"/>
      <c r="X57" s="440"/>
      <c r="Y57" s="440"/>
      <c r="Z57" s="440"/>
      <c r="AA57" s="440"/>
      <c r="AB57" s="440"/>
      <c r="AC57" s="440"/>
      <c r="AD57" s="440"/>
      <c r="AE57" s="440"/>
      <c r="AF57" s="440"/>
      <c r="AG57" s="440"/>
      <c r="AH57" s="440"/>
    </row>
    <row r="58" spans="1:34" x14ac:dyDescent="0.35">
      <c r="A58" s="421"/>
      <c r="B58" s="421"/>
      <c r="C58" s="421"/>
      <c r="D58" s="421"/>
      <c r="E58" s="421"/>
      <c r="F58" s="421"/>
      <c r="G58" s="421"/>
      <c r="H58" s="421"/>
      <c r="I58" s="421"/>
      <c r="J58" s="421"/>
      <c r="K58" s="421"/>
      <c r="L58" s="421"/>
      <c r="M58" s="421"/>
      <c r="N58" s="421"/>
      <c r="O58" s="421"/>
      <c r="P58" s="421"/>
      <c r="Q58" s="421"/>
      <c r="R58" s="421"/>
      <c r="S58" s="440"/>
      <c r="T58" s="440"/>
      <c r="U58" s="440"/>
      <c r="V58" s="440"/>
      <c r="W58" s="440"/>
      <c r="X58" s="440"/>
      <c r="Y58" s="440"/>
      <c r="Z58" s="440"/>
      <c r="AA58" s="440"/>
      <c r="AB58" s="440"/>
      <c r="AC58" s="440"/>
      <c r="AD58" s="440"/>
      <c r="AE58" s="440"/>
      <c r="AF58" s="440"/>
      <c r="AG58" s="440"/>
      <c r="AH58" s="440"/>
    </row>
    <row r="59" spans="1:34" x14ac:dyDescent="0.35">
      <c r="A59" s="421"/>
      <c r="B59" s="421"/>
      <c r="C59" s="421"/>
      <c r="D59" s="421"/>
      <c r="E59" s="421"/>
      <c r="F59" s="421"/>
      <c r="G59" s="421"/>
      <c r="H59" s="421"/>
      <c r="I59" s="421"/>
      <c r="J59" s="421"/>
      <c r="K59" s="421"/>
      <c r="L59" s="421"/>
      <c r="M59" s="421"/>
      <c r="N59" s="421"/>
      <c r="O59" s="421"/>
      <c r="P59" s="421"/>
      <c r="Q59" s="421"/>
      <c r="R59" s="421"/>
      <c r="S59" s="440"/>
      <c r="T59" s="440"/>
      <c r="U59" s="440"/>
      <c r="V59" s="440"/>
      <c r="W59" s="440"/>
      <c r="X59" s="440"/>
      <c r="Y59" s="440"/>
      <c r="Z59" s="440"/>
      <c r="AA59" s="440"/>
      <c r="AB59" s="440"/>
      <c r="AC59" s="440"/>
      <c r="AD59" s="440"/>
      <c r="AE59" s="440"/>
      <c r="AF59" s="440"/>
      <c r="AG59" s="440"/>
      <c r="AH59" s="440"/>
    </row>
    <row r="60" spans="1:34" x14ac:dyDescent="0.35">
      <c r="A60" s="421"/>
      <c r="B60" s="421"/>
      <c r="C60" s="421"/>
      <c r="D60" s="421"/>
      <c r="E60" s="421"/>
      <c r="F60" s="421"/>
      <c r="G60" s="421"/>
      <c r="H60" s="421"/>
      <c r="I60" s="421"/>
      <c r="J60" s="421"/>
      <c r="K60" s="421"/>
      <c r="L60" s="421"/>
      <c r="M60" s="421"/>
      <c r="N60" s="421"/>
      <c r="O60" s="421"/>
      <c r="P60" s="421"/>
      <c r="Q60" s="421"/>
      <c r="R60" s="421"/>
      <c r="S60" s="440"/>
      <c r="T60" s="440"/>
      <c r="U60" s="440"/>
      <c r="V60" s="440"/>
      <c r="W60" s="440"/>
      <c r="X60" s="440"/>
      <c r="Y60" s="440"/>
      <c r="Z60" s="440"/>
      <c r="AA60" s="440"/>
      <c r="AB60" s="440"/>
      <c r="AC60" s="440"/>
      <c r="AD60" s="440"/>
      <c r="AE60" s="440"/>
      <c r="AF60" s="440"/>
      <c r="AG60" s="440"/>
      <c r="AH60" s="440"/>
    </row>
    <row r="61" spans="1:34" x14ac:dyDescent="0.35">
      <c r="A61" s="421"/>
      <c r="B61" s="421"/>
      <c r="C61" s="421"/>
      <c r="D61" s="421"/>
      <c r="E61" s="421"/>
      <c r="F61" s="421"/>
      <c r="G61" s="421"/>
      <c r="H61" s="421"/>
      <c r="I61" s="421"/>
      <c r="J61" s="421"/>
      <c r="K61" s="421"/>
      <c r="L61" s="421"/>
      <c r="M61" s="421"/>
      <c r="N61" s="421"/>
      <c r="O61" s="421"/>
      <c r="P61" s="421"/>
      <c r="Q61" s="421"/>
      <c r="R61" s="421"/>
      <c r="S61" s="440"/>
      <c r="T61" s="440"/>
      <c r="U61" s="440"/>
      <c r="V61" s="440"/>
      <c r="W61" s="440"/>
      <c r="X61" s="440"/>
      <c r="Y61" s="440"/>
      <c r="Z61" s="440"/>
      <c r="AA61" s="440"/>
      <c r="AB61" s="440"/>
      <c r="AC61" s="440"/>
      <c r="AD61" s="440"/>
      <c r="AE61" s="440"/>
      <c r="AF61" s="440"/>
      <c r="AG61" s="440"/>
      <c r="AH61" s="440"/>
    </row>
    <row r="62" spans="1:34" x14ac:dyDescent="0.35">
      <c r="A62" s="421"/>
      <c r="B62" s="421"/>
      <c r="C62" s="421"/>
      <c r="D62" s="421"/>
      <c r="E62" s="421"/>
      <c r="F62" s="421"/>
      <c r="G62" s="421"/>
      <c r="H62" s="421"/>
      <c r="I62" s="421"/>
      <c r="J62" s="421"/>
      <c r="K62" s="421"/>
      <c r="L62" s="421"/>
      <c r="M62" s="421"/>
      <c r="N62" s="421"/>
      <c r="O62" s="421"/>
      <c r="P62" s="421"/>
      <c r="Q62" s="421"/>
      <c r="R62" s="421"/>
      <c r="S62" s="440"/>
      <c r="T62" s="440"/>
      <c r="U62" s="440"/>
      <c r="V62" s="440"/>
      <c r="W62" s="440"/>
      <c r="X62" s="440"/>
      <c r="Y62" s="440"/>
      <c r="Z62" s="440"/>
      <c r="AA62" s="440"/>
      <c r="AB62" s="440"/>
      <c r="AC62" s="440"/>
      <c r="AD62" s="440"/>
      <c r="AE62" s="440"/>
      <c r="AF62" s="440"/>
      <c r="AG62" s="440"/>
      <c r="AH62" s="440"/>
    </row>
    <row r="63" spans="1:34" x14ac:dyDescent="0.35">
      <c r="A63" s="421"/>
      <c r="B63" s="421"/>
      <c r="C63" s="421"/>
      <c r="D63" s="421"/>
      <c r="E63" s="421"/>
      <c r="F63" s="421"/>
      <c r="G63" s="421"/>
      <c r="H63" s="421"/>
      <c r="I63" s="421"/>
      <c r="J63" s="421"/>
      <c r="K63" s="421"/>
      <c r="L63" s="421"/>
      <c r="M63" s="421"/>
      <c r="N63" s="421"/>
      <c r="O63" s="421"/>
      <c r="P63" s="421"/>
      <c r="Q63" s="421"/>
      <c r="R63" s="421"/>
      <c r="S63" s="440"/>
      <c r="T63" s="440"/>
      <c r="U63" s="440"/>
      <c r="V63" s="440"/>
      <c r="W63" s="440"/>
      <c r="X63" s="440"/>
      <c r="Y63" s="440"/>
      <c r="Z63" s="440"/>
      <c r="AA63" s="440"/>
      <c r="AB63" s="440"/>
      <c r="AC63" s="440"/>
      <c r="AD63" s="440"/>
      <c r="AE63" s="440"/>
      <c r="AF63" s="440"/>
      <c r="AG63" s="440"/>
      <c r="AH63" s="440"/>
    </row>
    <row r="64" spans="1:34" x14ac:dyDescent="0.35">
      <c r="A64" s="421"/>
      <c r="B64" s="421"/>
      <c r="C64" s="421"/>
      <c r="D64" s="421"/>
      <c r="E64" s="421"/>
      <c r="F64" s="421"/>
      <c r="G64" s="421"/>
      <c r="H64" s="421"/>
      <c r="I64" s="421"/>
      <c r="J64" s="421"/>
      <c r="K64" s="421"/>
      <c r="L64" s="421"/>
      <c r="M64" s="421"/>
      <c r="N64" s="421"/>
      <c r="O64" s="421"/>
      <c r="P64" s="421"/>
      <c r="Q64" s="421"/>
      <c r="R64" s="421"/>
      <c r="S64" s="440"/>
      <c r="T64" s="440"/>
      <c r="U64" s="440"/>
      <c r="V64" s="440"/>
      <c r="W64" s="440"/>
      <c r="X64" s="440"/>
      <c r="Y64" s="440"/>
      <c r="Z64" s="440"/>
      <c r="AA64" s="440"/>
      <c r="AB64" s="440"/>
      <c r="AC64" s="440"/>
      <c r="AD64" s="440"/>
      <c r="AE64" s="440"/>
      <c r="AF64" s="440"/>
      <c r="AG64" s="440"/>
      <c r="AH64" s="440"/>
    </row>
    <row r="65" spans="1:34" x14ac:dyDescent="0.35">
      <c r="A65" s="421"/>
      <c r="B65" s="421"/>
      <c r="C65" s="421"/>
      <c r="D65" s="421"/>
      <c r="E65" s="421"/>
      <c r="F65" s="421"/>
      <c r="G65" s="421"/>
      <c r="H65" s="421"/>
      <c r="I65" s="421"/>
      <c r="J65" s="421"/>
      <c r="K65" s="421"/>
      <c r="L65" s="421"/>
      <c r="M65" s="421"/>
      <c r="N65" s="421"/>
      <c r="O65" s="421"/>
      <c r="P65" s="421"/>
      <c r="Q65" s="421"/>
      <c r="R65" s="421"/>
      <c r="S65" s="440"/>
      <c r="T65" s="440"/>
      <c r="U65" s="440"/>
      <c r="V65" s="440"/>
      <c r="W65" s="440"/>
      <c r="X65" s="440"/>
      <c r="Y65" s="440"/>
      <c r="Z65" s="440"/>
      <c r="AA65" s="440"/>
      <c r="AB65" s="440"/>
      <c r="AC65" s="440"/>
      <c r="AD65" s="440"/>
      <c r="AE65" s="440"/>
      <c r="AF65" s="440"/>
      <c r="AG65" s="440"/>
      <c r="AH65" s="440"/>
    </row>
    <row r="66" spans="1:34" x14ac:dyDescent="0.35">
      <c r="A66" s="421"/>
      <c r="B66" s="421"/>
      <c r="C66" s="421"/>
      <c r="D66" s="421"/>
      <c r="E66" s="421"/>
      <c r="F66" s="421"/>
      <c r="G66" s="421"/>
      <c r="H66" s="421"/>
      <c r="I66" s="421"/>
      <c r="J66" s="421"/>
      <c r="K66" s="421"/>
      <c r="L66" s="421"/>
      <c r="M66" s="421"/>
      <c r="N66" s="421"/>
      <c r="O66" s="421"/>
      <c r="P66" s="421"/>
      <c r="Q66" s="421"/>
      <c r="R66" s="421"/>
      <c r="S66" s="440"/>
      <c r="T66" s="440"/>
      <c r="U66" s="440"/>
      <c r="V66" s="440"/>
      <c r="W66" s="440"/>
      <c r="X66" s="440"/>
      <c r="Y66" s="440"/>
      <c r="Z66" s="440"/>
      <c r="AA66" s="440"/>
      <c r="AB66" s="440"/>
      <c r="AC66" s="440"/>
      <c r="AD66" s="440"/>
      <c r="AE66" s="440"/>
      <c r="AF66" s="440"/>
      <c r="AG66" s="440"/>
      <c r="AH66" s="440"/>
    </row>
    <row r="67" spans="1:34" x14ac:dyDescent="0.35">
      <c r="A67" s="421"/>
      <c r="B67" s="421"/>
      <c r="C67" s="421"/>
      <c r="D67" s="421"/>
      <c r="E67" s="421"/>
      <c r="F67" s="421"/>
      <c r="G67" s="421"/>
      <c r="H67" s="421"/>
      <c r="I67" s="421"/>
      <c r="J67" s="421"/>
      <c r="K67" s="421"/>
      <c r="L67" s="421"/>
      <c r="M67" s="421"/>
      <c r="N67" s="421"/>
      <c r="O67" s="421"/>
      <c r="P67" s="421"/>
      <c r="Q67" s="421"/>
      <c r="R67" s="421"/>
      <c r="S67" s="440"/>
      <c r="T67" s="440"/>
      <c r="U67" s="440"/>
      <c r="V67" s="440"/>
      <c r="W67" s="440"/>
      <c r="X67" s="440"/>
      <c r="Y67" s="440"/>
      <c r="Z67" s="440"/>
      <c r="AA67" s="440"/>
      <c r="AB67" s="440"/>
      <c r="AC67" s="440"/>
      <c r="AD67" s="440"/>
      <c r="AE67" s="440"/>
      <c r="AF67" s="440"/>
      <c r="AG67" s="440"/>
      <c r="AH67" s="440"/>
    </row>
    <row r="68" spans="1:34" x14ac:dyDescent="0.35">
      <c r="A68" s="421"/>
      <c r="B68" s="421"/>
      <c r="C68" s="421"/>
      <c r="D68" s="421"/>
      <c r="E68" s="421"/>
      <c r="F68" s="421"/>
      <c r="G68" s="421"/>
      <c r="H68" s="421"/>
      <c r="I68" s="421"/>
      <c r="J68" s="421"/>
      <c r="K68" s="421"/>
      <c r="L68" s="421"/>
      <c r="M68" s="421"/>
      <c r="N68" s="421"/>
      <c r="O68" s="421"/>
      <c r="P68" s="421"/>
      <c r="Q68" s="421"/>
      <c r="R68" s="421"/>
      <c r="S68" s="440"/>
      <c r="T68" s="440"/>
      <c r="U68" s="440"/>
      <c r="V68" s="440"/>
      <c r="W68" s="440"/>
      <c r="X68" s="440"/>
      <c r="Y68" s="440"/>
      <c r="Z68" s="440"/>
      <c r="AA68" s="440"/>
      <c r="AB68" s="440"/>
      <c r="AC68" s="440"/>
      <c r="AD68" s="440"/>
      <c r="AE68" s="440"/>
      <c r="AF68" s="440"/>
      <c r="AG68" s="440"/>
      <c r="AH68" s="440"/>
    </row>
    <row r="69" spans="1:34" x14ac:dyDescent="0.35">
      <c r="A69" s="421"/>
      <c r="B69" s="421"/>
      <c r="C69" s="421"/>
      <c r="D69" s="421"/>
      <c r="E69" s="421"/>
      <c r="F69" s="421"/>
      <c r="G69" s="421"/>
      <c r="H69" s="421"/>
      <c r="I69" s="421"/>
      <c r="J69" s="421"/>
      <c r="K69" s="421"/>
      <c r="L69" s="421"/>
      <c r="M69" s="421"/>
      <c r="N69" s="421"/>
      <c r="O69" s="421"/>
      <c r="P69" s="421"/>
      <c r="Q69" s="421"/>
      <c r="R69" s="421"/>
      <c r="S69" s="440"/>
      <c r="T69" s="440"/>
      <c r="U69" s="440"/>
      <c r="V69" s="440"/>
      <c r="W69" s="440"/>
      <c r="X69" s="440"/>
      <c r="Y69" s="440"/>
      <c r="Z69" s="440"/>
      <c r="AA69" s="440"/>
      <c r="AB69" s="440"/>
      <c r="AC69" s="440"/>
      <c r="AD69" s="440"/>
      <c r="AE69" s="440"/>
      <c r="AF69" s="440"/>
      <c r="AG69" s="440"/>
      <c r="AH69" s="440"/>
    </row>
    <row r="70" spans="1:34" x14ac:dyDescent="0.35">
      <c r="A70" s="421"/>
      <c r="B70" s="421"/>
      <c r="C70" s="421"/>
      <c r="D70" s="421"/>
      <c r="E70" s="421"/>
      <c r="F70" s="421"/>
      <c r="G70" s="421"/>
      <c r="H70" s="421"/>
      <c r="I70" s="421"/>
      <c r="J70" s="421"/>
      <c r="K70" s="421"/>
      <c r="L70" s="421"/>
      <c r="M70" s="421"/>
      <c r="N70" s="421"/>
      <c r="O70" s="421"/>
      <c r="P70" s="421"/>
      <c r="Q70" s="421"/>
      <c r="R70" s="421"/>
      <c r="S70" s="440"/>
      <c r="T70" s="440"/>
      <c r="U70" s="440"/>
      <c r="V70" s="440"/>
      <c r="W70" s="440"/>
      <c r="X70" s="440"/>
      <c r="Y70" s="440"/>
      <c r="Z70" s="440"/>
      <c r="AA70" s="440"/>
      <c r="AB70" s="440"/>
      <c r="AC70" s="440"/>
      <c r="AD70" s="440"/>
      <c r="AE70" s="440"/>
      <c r="AF70" s="440"/>
      <c r="AG70" s="440"/>
      <c r="AH70" s="440"/>
    </row>
    <row r="71" spans="1:34" x14ac:dyDescent="0.35">
      <c r="A71" s="421"/>
      <c r="B71" s="421"/>
      <c r="C71" s="421"/>
      <c r="D71" s="421"/>
      <c r="E71" s="421"/>
      <c r="F71" s="421"/>
      <c r="G71" s="421"/>
      <c r="H71" s="421"/>
      <c r="I71" s="421"/>
      <c r="J71" s="421"/>
      <c r="K71" s="421"/>
      <c r="L71" s="421"/>
      <c r="M71" s="421"/>
      <c r="N71" s="421"/>
      <c r="O71" s="421"/>
      <c r="P71" s="421"/>
      <c r="Q71" s="421"/>
      <c r="R71" s="421"/>
      <c r="S71" s="440"/>
      <c r="T71" s="440"/>
      <c r="U71" s="440"/>
      <c r="V71" s="440"/>
      <c r="W71" s="440"/>
      <c r="X71" s="440"/>
      <c r="Y71" s="440"/>
      <c r="Z71" s="440"/>
      <c r="AA71" s="440"/>
      <c r="AB71" s="440"/>
      <c r="AC71" s="440"/>
      <c r="AD71" s="440"/>
      <c r="AE71" s="440"/>
      <c r="AF71" s="440"/>
      <c r="AG71" s="440"/>
      <c r="AH71" s="440"/>
    </row>
    <row r="72" spans="1:34" x14ac:dyDescent="0.35">
      <c r="A72" s="421"/>
      <c r="B72" s="421"/>
      <c r="C72" s="421"/>
      <c r="D72" s="421"/>
      <c r="E72" s="421"/>
      <c r="F72" s="421"/>
      <c r="G72" s="421"/>
      <c r="H72" s="421"/>
      <c r="I72" s="421"/>
      <c r="J72" s="421"/>
      <c r="K72" s="421"/>
      <c r="L72" s="421"/>
      <c r="M72" s="421"/>
      <c r="N72" s="421"/>
      <c r="O72" s="421"/>
      <c r="P72" s="421"/>
      <c r="Q72" s="421"/>
      <c r="R72" s="421"/>
      <c r="S72" s="440"/>
      <c r="T72" s="440"/>
      <c r="U72" s="440"/>
      <c r="V72" s="440"/>
      <c r="W72" s="440"/>
      <c r="X72" s="440"/>
      <c r="Y72" s="440"/>
      <c r="Z72" s="440"/>
      <c r="AA72" s="440"/>
      <c r="AB72" s="440"/>
      <c r="AC72" s="440"/>
      <c r="AD72" s="440"/>
      <c r="AE72" s="440"/>
      <c r="AF72" s="440"/>
      <c r="AG72" s="440"/>
      <c r="AH72" s="440"/>
    </row>
    <row r="73" spans="1:34" x14ac:dyDescent="0.35">
      <c r="A73" s="421"/>
      <c r="B73" s="421"/>
      <c r="C73" s="421"/>
      <c r="D73" s="421"/>
      <c r="E73" s="421"/>
      <c r="F73" s="421"/>
      <c r="G73" s="421"/>
      <c r="H73" s="421"/>
      <c r="I73" s="421"/>
      <c r="J73" s="421"/>
      <c r="K73" s="421"/>
      <c r="L73" s="421"/>
      <c r="M73" s="421"/>
      <c r="N73" s="421"/>
      <c r="O73" s="421"/>
      <c r="P73" s="421"/>
      <c r="Q73" s="421"/>
      <c r="R73" s="421"/>
      <c r="S73" s="440"/>
      <c r="T73" s="440"/>
      <c r="U73" s="440"/>
      <c r="V73" s="440"/>
      <c r="W73" s="440"/>
      <c r="X73" s="440"/>
      <c r="Y73" s="440"/>
      <c r="Z73" s="440"/>
      <c r="AA73" s="440"/>
      <c r="AB73" s="440"/>
      <c r="AC73" s="440"/>
      <c r="AD73" s="440"/>
      <c r="AE73" s="440"/>
      <c r="AF73" s="440"/>
      <c r="AG73" s="440"/>
      <c r="AH73" s="440"/>
    </row>
    <row r="74" spans="1:34" x14ac:dyDescent="0.35">
      <c r="A74" s="421"/>
      <c r="B74" s="421"/>
      <c r="C74" s="421"/>
      <c r="D74" s="421"/>
      <c r="E74" s="421"/>
      <c r="F74" s="421"/>
      <c r="G74" s="421"/>
      <c r="H74" s="421"/>
      <c r="I74" s="421"/>
      <c r="J74" s="421"/>
      <c r="K74" s="421"/>
      <c r="L74" s="421"/>
      <c r="M74" s="421"/>
      <c r="N74" s="421"/>
      <c r="O74" s="421"/>
      <c r="P74" s="421"/>
      <c r="Q74" s="421"/>
      <c r="R74" s="421"/>
      <c r="S74" s="440"/>
      <c r="T74" s="440"/>
      <c r="U74" s="440"/>
      <c r="V74" s="440"/>
      <c r="W74" s="440"/>
      <c r="X74" s="440"/>
      <c r="Y74" s="440"/>
      <c r="Z74" s="440"/>
      <c r="AA74" s="440"/>
      <c r="AB74" s="440"/>
      <c r="AC74" s="440"/>
      <c r="AD74" s="440"/>
      <c r="AE74" s="440"/>
      <c r="AF74" s="440"/>
      <c r="AG74" s="440"/>
      <c r="AH74" s="440"/>
    </row>
    <row r="75" spans="1:34" x14ac:dyDescent="0.35">
      <c r="A75" s="421"/>
      <c r="B75" s="421"/>
      <c r="C75" s="421"/>
      <c r="D75" s="421"/>
      <c r="E75" s="421"/>
      <c r="F75" s="421"/>
      <c r="G75" s="421"/>
      <c r="H75" s="421"/>
      <c r="I75" s="421"/>
      <c r="J75" s="421"/>
      <c r="K75" s="421"/>
      <c r="L75" s="421"/>
      <c r="M75" s="421"/>
      <c r="N75" s="421"/>
      <c r="O75" s="421"/>
      <c r="P75" s="421"/>
      <c r="Q75" s="421"/>
      <c r="R75" s="421"/>
      <c r="S75" s="440"/>
      <c r="T75" s="440"/>
      <c r="U75" s="440"/>
      <c r="V75" s="440"/>
      <c r="W75" s="440"/>
      <c r="X75" s="440"/>
      <c r="Y75" s="440"/>
      <c r="Z75" s="440"/>
      <c r="AA75" s="440"/>
      <c r="AB75" s="440"/>
      <c r="AC75" s="440"/>
      <c r="AD75" s="440"/>
      <c r="AE75" s="440"/>
      <c r="AF75" s="440"/>
      <c r="AG75" s="440"/>
      <c r="AH75" s="440"/>
    </row>
    <row r="76" spans="1:34" x14ac:dyDescent="0.35">
      <c r="A76" s="421"/>
      <c r="B76" s="421"/>
      <c r="C76" s="421"/>
      <c r="D76" s="421"/>
      <c r="E76" s="421"/>
      <c r="F76" s="421"/>
      <c r="G76" s="421"/>
      <c r="H76" s="421"/>
      <c r="I76" s="421"/>
      <c r="J76" s="421"/>
      <c r="K76" s="421"/>
      <c r="L76" s="421"/>
      <c r="M76" s="421"/>
      <c r="N76" s="421"/>
      <c r="O76" s="421"/>
      <c r="P76" s="421"/>
      <c r="Q76" s="421"/>
      <c r="R76" s="421"/>
      <c r="S76" s="440"/>
      <c r="T76" s="440"/>
      <c r="U76" s="440"/>
      <c r="V76" s="440"/>
      <c r="W76" s="440"/>
      <c r="X76" s="440"/>
      <c r="Y76" s="440"/>
      <c r="Z76" s="440"/>
      <c r="AA76" s="440"/>
      <c r="AB76" s="440"/>
      <c r="AC76" s="440"/>
      <c r="AD76" s="440"/>
      <c r="AE76" s="440"/>
      <c r="AF76" s="440"/>
      <c r="AG76" s="440"/>
      <c r="AH76" s="440"/>
    </row>
    <row r="77" spans="1:34" x14ac:dyDescent="0.35">
      <c r="A77" s="421"/>
      <c r="B77" s="421"/>
      <c r="C77" s="421"/>
      <c r="D77" s="421"/>
      <c r="E77" s="421"/>
      <c r="F77" s="421"/>
      <c r="G77" s="421"/>
      <c r="H77" s="421"/>
      <c r="I77" s="421"/>
      <c r="J77" s="421"/>
      <c r="K77" s="421"/>
      <c r="L77" s="421"/>
      <c r="M77" s="421"/>
      <c r="N77" s="421"/>
      <c r="O77" s="421"/>
      <c r="P77" s="421"/>
      <c r="Q77" s="421"/>
      <c r="R77" s="421"/>
      <c r="S77" s="440"/>
      <c r="T77" s="440"/>
      <c r="U77" s="440"/>
      <c r="V77" s="440"/>
      <c r="W77" s="440"/>
      <c r="X77" s="440"/>
      <c r="Y77" s="440"/>
      <c r="Z77" s="440"/>
      <c r="AA77" s="440"/>
      <c r="AB77" s="440"/>
      <c r="AC77" s="440"/>
      <c r="AD77" s="440"/>
      <c r="AE77" s="440"/>
      <c r="AF77" s="440"/>
      <c r="AG77" s="440"/>
      <c r="AH77" s="440"/>
    </row>
    <row r="78" spans="1:34" x14ac:dyDescent="0.35">
      <c r="A78" s="421"/>
      <c r="B78" s="421"/>
      <c r="C78" s="421"/>
      <c r="D78" s="421"/>
      <c r="E78" s="421"/>
      <c r="F78" s="421"/>
      <c r="G78" s="421"/>
      <c r="H78" s="421"/>
      <c r="I78" s="421"/>
      <c r="J78" s="421"/>
      <c r="K78" s="421"/>
      <c r="L78" s="421"/>
      <c r="M78" s="421"/>
      <c r="N78" s="421"/>
      <c r="O78" s="421"/>
      <c r="P78" s="421"/>
      <c r="Q78" s="421"/>
      <c r="R78" s="421"/>
      <c r="S78" s="440"/>
      <c r="T78" s="440"/>
      <c r="U78" s="440"/>
      <c r="V78" s="440"/>
      <c r="W78" s="440"/>
      <c r="X78" s="440"/>
      <c r="Y78" s="440"/>
      <c r="Z78" s="440"/>
      <c r="AA78" s="440"/>
      <c r="AB78" s="440"/>
      <c r="AC78" s="440"/>
      <c r="AD78" s="440"/>
      <c r="AE78" s="440"/>
      <c r="AF78" s="440"/>
      <c r="AG78" s="440"/>
      <c r="AH78" s="440"/>
    </row>
    <row r="79" spans="1:34" x14ac:dyDescent="0.35">
      <c r="A79" s="421"/>
      <c r="B79" s="421"/>
      <c r="C79" s="421"/>
      <c r="D79" s="421"/>
      <c r="E79" s="421"/>
      <c r="F79" s="421"/>
      <c r="G79" s="421"/>
      <c r="H79" s="421"/>
      <c r="I79" s="421"/>
      <c r="J79" s="421"/>
      <c r="K79" s="421"/>
      <c r="L79" s="421"/>
      <c r="M79" s="421"/>
      <c r="N79" s="421"/>
      <c r="O79" s="421"/>
      <c r="P79" s="421"/>
      <c r="Q79" s="421"/>
      <c r="R79" s="421"/>
      <c r="S79" s="440"/>
      <c r="T79" s="440"/>
      <c r="U79" s="440"/>
      <c r="V79" s="440"/>
      <c r="W79" s="440"/>
      <c r="X79" s="440"/>
      <c r="Y79" s="440"/>
      <c r="Z79" s="440"/>
      <c r="AA79" s="440"/>
      <c r="AB79" s="440"/>
      <c r="AC79" s="440"/>
      <c r="AD79" s="440"/>
      <c r="AE79" s="440"/>
      <c r="AF79" s="440"/>
      <c r="AG79" s="440"/>
      <c r="AH79" s="440"/>
    </row>
    <row r="80" spans="1:34" x14ac:dyDescent="0.35">
      <c r="A80" s="421"/>
      <c r="B80" s="421"/>
      <c r="C80" s="421"/>
      <c r="D80" s="421"/>
      <c r="E80" s="421"/>
      <c r="F80" s="421"/>
      <c r="G80" s="421"/>
      <c r="H80" s="421"/>
      <c r="I80" s="421"/>
      <c r="J80" s="421"/>
      <c r="K80" s="421"/>
      <c r="L80" s="421"/>
      <c r="M80" s="421"/>
      <c r="N80" s="421"/>
      <c r="O80" s="421"/>
      <c r="P80" s="421"/>
      <c r="Q80" s="421"/>
      <c r="R80" s="421"/>
      <c r="S80" s="440"/>
      <c r="T80" s="440"/>
      <c r="U80" s="440"/>
      <c r="V80" s="440"/>
      <c r="W80" s="440"/>
      <c r="X80" s="440"/>
      <c r="Y80" s="440"/>
      <c r="Z80" s="440"/>
      <c r="AA80" s="440"/>
      <c r="AB80" s="440"/>
      <c r="AC80" s="440"/>
      <c r="AD80" s="440"/>
      <c r="AE80" s="440"/>
      <c r="AF80" s="440"/>
      <c r="AG80" s="440"/>
      <c r="AH80" s="440"/>
    </row>
    <row r="81" spans="1:34" x14ac:dyDescent="0.35">
      <c r="A81" s="421"/>
      <c r="B81" s="421"/>
      <c r="C81" s="421"/>
      <c r="D81" s="421"/>
      <c r="E81" s="421"/>
      <c r="F81" s="421"/>
      <c r="G81" s="421"/>
      <c r="H81" s="421"/>
      <c r="I81" s="421"/>
      <c r="J81" s="421"/>
      <c r="K81" s="421"/>
      <c r="L81" s="421"/>
      <c r="M81" s="421"/>
      <c r="N81" s="421"/>
      <c r="O81" s="421"/>
      <c r="P81" s="421"/>
      <c r="Q81" s="421"/>
      <c r="R81" s="421"/>
      <c r="S81" s="440"/>
      <c r="T81" s="440"/>
      <c r="U81" s="440"/>
      <c r="V81" s="440"/>
      <c r="W81" s="440"/>
      <c r="X81" s="440"/>
      <c r="Y81" s="440"/>
      <c r="Z81" s="440"/>
      <c r="AA81" s="440"/>
      <c r="AB81" s="440"/>
      <c r="AC81" s="440"/>
      <c r="AD81" s="440"/>
      <c r="AE81" s="440"/>
      <c r="AF81" s="440"/>
      <c r="AG81" s="440"/>
      <c r="AH81" s="440"/>
    </row>
    <row r="82" spans="1:34" x14ac:dyDescent="0.35">
      <c r="A82" s="421"/>
      <c r="B82" s="421"/>
      <c r="C82" s="421"/>
      <c r="D82" s="421"/>
      <c r="E82" s="421"/>
      <c r="F82" s="421"/>
      <c r="G82" s="421"/>
      <c r="H82" s="421"/>
      <c r="I82" s="421"/>
      <c r="J82" s="421"/>
      <c r="K82" s="421"/>
      <c r="L82" s="421"/>
      <c r="M82" s="421"/>
      <c r="N82" s="421"/>
      <c r="O82" s="421"/>
      <c r="P82" s="421"/>
      <c r="Q82" s="421"/>
      <c r="R82" s="421"/>
      <c r="S82" s="440"/>
      <c r="T82" s="440"/>
      <c r="U82" s="440"/>
      <c r="V82" s="440"/>
      <c r="W82" s="440"/>
      <c r="X82" s="440"/>
      <c r="Y82" s="440"/>
      <c r="Z82" s="440"/>
      <c r="AA82" s="440"/>
      <c r="AB82" s="440"/>
      <c r="AC82" s="440"/>
      <c r="AD82" s="440"/>
      <c r="AE82" s="440"/>
      <c r="AF82" s="440"/>
      <c r="AG82" s="440"/>
      <c r="AH82" s="440"/>
    </row>
    <row r="83" spans="1:34" x14ac:dyDescent="0.35">
      <c r="A83" s="421"/>
      <c r="B83" s="421"/>
      <c r="C83" s="421"/>
      <c r="D83" s="421"/>
      <c r="E83" s="421"/>
      <c r="F83" s="421"/>
      <c r="G83" s="421"/>
      <c r="H83" s="421"/>
      <c r="I83" s="421"/>
      <c r="J83" s="421"/>
      <c r="K83" s="421"/>
      <c r="L83" s="421"/>
      <c r="M83" s="421"/>
      <c r="N83" s="421"/>
      <c r="O83" s="421"/>
      <c r="P83" s="421"/>
      <c r="Q83" s="421"/>
      <c r="R83" s="421"/>
      <c r="S83" s="440"/>
      <c r="T83" s="440"/>
      <c r="U83" s="440"/>
      <c r="V83" s="440"/>
      <c r="W83" s="440"/>
      <c r="X83" s="440"/>
      <c r="Y83" s="440"/>
      <c r="Z83" s="440"/>
      <c r="AA83" s="440"/>
      <c r="AB83" s="440"/>
      <c r="AC83" s="440"/>
      <c r="AD83" s="440"/>
      <c r="AE83" s="440"/>
      <c r="AF83" s="440"/>
      <c r="AG83" s="440"/>
      <c r="AH83" s="440"/>
    </row>
    <row r="84" spans="1:34" x14ac:dyDescent="0.35">
      <c r="A84" s="421"/>
      <c r="B84" s="421"/>
      <c r="C84" s="421"/>
      <c r="D84" s="421"/>
      <c r="E84" s="421"/>
      <c r="F84" s="421"/>
      <c r="G84" s="421"/>
      <c r="H84" s="421"/>
      <c r="I84" s="421"/>
      <c r="J84" s="421"/>
      <c r="K84" s="421"/>
      <c r="L84" s="421"/>
      <c r="M84" s="421"/>
      <c r="N84" s="421"/>
      <c r="O84" s="421"/>
      <c r="P84" s="421"/>
      <c r="Q84" s="421"/>
      <c r="R84" s="421"/>
      <c r="S84" s="440"/>
      <c r="T84" s="440"/>
      <c r="U84" s="440"/>
      <c r="V84" s="440"/>
      <c r="W84" s="440"/>
      <c r="X84" s="440"/>
      <c r="Y84" s="440"/>
      <c r="Z84" s="440"/>
      <c r="AA84" s="440"/>
      <c r="AB84" s="440"/>
      <c r="AC84" s="440"/>
      <c r="AD84" s="440"/>
      <c r="AE84" s="440"/>
      <c r="AF84" s="440"/>
      <c r="AG84" s="440"/>
      <c r="AH84" s="440"/>
    </row>
    <row r="85" spans="1:34" x14ac:dyDescent="0.35">
      <c r="A85" s="421"/>
      <c r="B85" s="421"/>
      <c r="C85" s="421"/>
      <c r="D85" s="421"/>
      <c r="E85" s="421"/>
      <c r="F85" s="421"/>
      <c r="G85" s="421"/>
      <c r="H85" s="421"/>
      <c r="I85" s="421"/>
      <c r="J85" s="421"/>
      <c r="K85" s="421"/>
      <c r="L85" s="421"/>
      <c r="M85" s="421"/>
      <c r="N85" s="421"/>
      <c r="O85" s="421"/>
      <c r="P85" s="421"/>
      <c r="Q85" s="421"/>
      <c r="R85" s="421"/>
      <c r="S85" s="440"/>
      <c r="T85" s="440"/>
      <c r="U85" s="440"/>
      <c r="V85" s="440"/>
      <c r="W85" s="440"/>
      <c r="X85" s="440"/>
      <c r="Y85" s="440"/>
      <c r="Z85" s="440"/>
      <c r="AA85" s="440"/>
      <c r="AB85" s="440"/>
      <c r="AC85" s="440"/>
      <c r="AD85" s="440"/>
      <c r="AE85" s="440"/>
      <c r="AF85" s="440"/>
      <c r="AG85" s="440"/>
      <c r="AH85" s="440"/>
    </row>
    <row r="86" spans="1:34" x14ac:dyDescent="0.35">
      <c r="A86" s="421"/>
      <c r="B86" s="421"/>
      <c r="C86" s="421"/>
      <c r="D86" s="421"/>
      <c r="E86" s="421"/>
      <c r="F86" s="421"/>
      <c r="G86" s="421"/>
      <c r="H86" s="421"/>
      <c r="I86" s="421"/>
      <c r="J86" s="421"/>
      <c r="K86" s="421"/>
      <c r="L86" s="421"/>
      <c r="M86" s="421"/>
      <c r="N86" s="421"/>
      <c r="O86" s="421"/>
      <c r="P86" s="421"/>
      <c r="Q86" s="421"/>
      <c r="R86" s="421"/>
      <c r="S86" s="440"/>
      <c r="T86" s="440"/>
      <c r="U86" s="440"/>
      <c r="V86" s="440"/>
      <c r="W86" s="440"/>
      <c r="X86" s="440"/>
      <c r="Y86" s="440"/>
      <c r="Z86" s="440"/>
      <c r="AA86" s="440"/>
      <c r="AB86" s="440"/>
      <c r="AC86" s="440"/>
      <c r="AD86" s="440"/>
      <c r="AE86" s="440"/>
      <c r="AF86" s="440"/>
      <c r="AG86" s="440"/>
      <c r="AH86" s="440"/>
    </row>
    <row r="87" spans="1:34" x14ac:dyDescent="0.35">
      <c r="A87" s="421"/>
      <c r="B87" s="421"/>
      <c r="C87" s="421"/>
      <c r="D87" s="421"/>
      <c r="E87" s="421"/>
      <c r="F87" s="421"/>
      <c r="G87" s="421"/>
      <c r="H87" s="421"/>
      <c r="I87" s="421"/>
      <c r="J87" s="421"/>
      <c r="K87" s="421"/>
      <c r="L87" s="421"/>
      <c r="M87" s="421"/>
      <c r="N87" s="421"/>
      <c r="O87" s="421"/>
      <c r="P87" s="421"/>
      <c r="Q87" s="421"/>
      <c r="R87" s="421"/>
      <c r="S87" s="440"/>
      <c r="T87" s="440"/>
      <c r="U87" s="440"/>
      <c r="V87" s="440"/>
      <c r="W87" s="440"/>
      <c r="X87" s="440"/>
      <c r="Y87" s="440"/>
      <c r="Z87" s="440"/>
      <c r="AA87" s="440"/>
      <c r="AB87" s="440"/>
      <c r="AC87" s="440"/>
      <c r="AD87" s="440"/>
      <c r="AE87" s="440"/>
      <c r="AF87" s="440"/>
      <c r="AG87" s="440"/>
      <c r="AH87" s="440"/>
    </row>
    <row r="88" spans="1:34" x14ac:dyDescent="0.35">
      <c r="A88" s="421"/>
      <c r="B88" s="421"/>
      <c r="C88" s="421"/>
      <c r="D88" s="421"/>
      <c r="E88" s="421"/>
      <c r="F88" s="421"/>
      <c r="G88" s="421"/>
      <c r="H88" s="421"/>
      <c r="I88" s="421"/>
      <c r="J88" s="421"/>
      <c r="K88" s="421"/>
      <c r="L88" s="421"/>
      <c r="M88" s="421"/>
      <c r="N88" s="421"/>
      <c r="O88" s="421"/>
      <c r="P88" s="421"/>
      <c r="Q88" s="421"/>
      <c r="R88" s="421"/>
      <c r="S88" s="440"/>
      <c r="T88" s="440"/>
      <c r="U88" s="440"/>
      <c r="V88" s="440"/>
      <c r="W88" s="440"/>
      <c r="X88" s="440"/>
      <c r="Y88" s="440"/>
      <c r="Z88" s="440"/>
      <c r="AA88" s="440"/>
      <c r="AB88" s="440"/>
      <c r="AC88" s="440"/>
      <c r="AD88" s="440"/>
      <c r="AE88" s="440"/>
      <c r="AF88" s="440"/>
      <c r="AG88" s="440"/>
      <c r="AH88" s="440"/>
    </row>
    <row r="89" spans="1:34" x14ac:dyDescent="0.35">
      <c r="A89" s="421"/>
      <c r="B89" s="421"/>
      <c r="C89" s="421"/>
      <c r="D89" s="421"/>
      <c r="E89" s="421"/>
      <c r="F89" s="421"/>
      <c r="G89" s="421"/>
      <c r="H89" s="421"/>
      <c r="I89" s="421"/>
      <c r="J89" s="421"/>
      <c r="K89" s="421"/>
      <c r="L89" s="421"/>
      <c r="M89" s="421"/>
      <c r="N89" s="421"/>
      <c r="O89" s="421"/>
      <c r="P89" s="421"/>
      <c r="Q89" s="421"/>
      <c r="R89" s="421"/>
      <c r="S89" s="440"/>
      <c r="T89" s="440"/>
      <c r="U89" s="440"/>
      <c r="V89" s="440"/>
      <c r="W89" s="440"/>
      <c r="X89" s="440"/>
      <c r="Y89" s="440"/>
      <c r="Z89" s="440"/>
      <c r="AA89" s="440"/>
      <c r="AB89" s="440"/>
      <c r="AC89" s="440"/>
      <c r="AD89" s="440"/>
      <c r="AE89" s="440"/>
      <c r="AF89" s="440"/>
      <c r="AG89" s="440"/>
      <c r="AH89" s="440"/>
    </row>
    <row r="90" spans="1:34" x14ac:dyDescent="0.35">
      <c r="A90" s="421"/>
      <c r="B90" s="421"/>
      <c r="C90" s="421"/>
      <c r="D90" s="421"/>
      <c r="E90" s="421"/>
      <c r="F90" s="421"/>
      <c r="G90" s="421"/>
      <c r="H90" s="421"/>
      <c r="I90" s="421"/>
      <c r="J90" s="421"/>
      <c r="K90" s="421"/>
      <c r="L90" s="421"/>
      <c r="M90" s="421"/>
      <c r="N90" s="421"/>
      <c r="O90" s="421"/>
      <c r="P90" s="421"/>
      <c r="Q90" s="421"/>
      <c r="R90" s="421"/>
      <c r="S90" s="440"/>
      <c r="T90" s="440"/>
      <c r="U90" s="440"/>
      <c r="V90" s="440"/>
      <c r="W90" s="440"/>
      <c r="X90" s="440"/>
      <c r="Y90" s="440"/>
      <c r="Z90" s="440"/>
      <c r="AA90" s="440"/>
      <c r="AB90" s="440"/>
      <c r="AC90" s="440"/>
      <c r="AD90" s="440"/>
      <c r="AE90" s="440"/>
      <c r="AF90" s="440"/>
      <c r="AG90" s="440"/>
      <c r="AH90" s="440"/>
    </row>
    <row r="91" spans="1:34" x14ac:dyDescent="0.35">
      <c r="A91" s="421"/>
      <c r="B91" s="421"/>
      <c r="C91" s="421"/>
      <c r="D91" s="421"/>
      <c r="E91" s="421"/>
      <c r="F91" s="421"/>
      <c r="G91" s="421"/>
      <c r="H91" s="421"/>
      <c r="I91" s="421"/>
      <c r="J91" s="421"/>
      <c r="K91" s="421"/>
      <c r="L91" s="421"/>
      <c r="M91" s="421"/>
      <c r="N91" s="421"/>
      <c r="O91" s="421"/>
      <c r="P91" s="421"/>
      <c r="Q91" s="421"/>
      <c r="R91" s="421"/>
      <c r="S91" s="440"/>
      <c r="T91" s="440"/>
      <c r="U91" s="440"/>
      <c r="V91" s="440"/>
      <c r="W91" s="440"/>
      <c r="X91" s="440"/>
      <c r="Y91" s="440"/>
      <c r="Z91" s="440"/>
      <c r="AA91" s="440"/>
      <c r="AB91" s="440"/>
      <c r="AC91" s="440"/>
      <c r="AD91" s="440"/>
      <c r="AE91" s="440"/>
      <c r="AF91" s="440"/>
      <c r="AG91" s="440"/>
      <c r="AH91" s="440"/>
    </row>
    <row r="92" spans="1:34" x14ac:dyDescent="0.35">
      <c r="A92" s="421"/>
      <c r="B92" s="421"/>
      <c r="C92" s="421"/>
      <c r="D92" s="421"/>
      <c r="E92" s="421"/>
      <c r="F92" s="421"/>
      <c r="G92" s="421"/>
      <c r="H92" s="421"/>
      <c r="I92" s="421"/>
      <c r="J92" s="421"/>
      <c r="K92" s="421"/>
      <c r="L92" s="421"/>
      <c r="M92" s="421"/>
      <c r="N92" s="421"/>
      <c r="O92" s="421"/>
      <c r="P92" s="421"/>
      <c r="Q92" s="421"/>
      <c r="R92" s="421"/>
      <c r="S92" s="440"/>
      <c r="T92" s="440"/>
      <c r="U92" s="440"/>
      <c r="V92" s="440"/>
      <c r="W92" s="440"/>
      <c r="X92" s="440"/>
      <c r="Y92" s="440"/>
      <c r="Z92" s="440"/>
      <c r="AA92" s="440"/>
      <c r="AB92" s="440"/>
      <c r="AC92" s="440"/>
      <c r="AD92" s="440"/>
      <c r="AE92" s="440"/>
      <c r="AF92" s="440"/>
      <c r="AG92" s="440"/>
      <c r="AH92" s="440"/>
    </row>
    <row r="93" spans="1:34" x14ac:dyDescent="0.35">
      <c r="A93" s="421"/>
      <c r="B93" s="421"/>
      <c r="C93" s="421"/>
      <c r="D93" s="421"/>
      <c r="E93" s="421"/>
      <c r="F93" s="421"/>
      <c r="G93" s="421"/>
      <c r="H93" s="421"/>
      <c r="I93" s="421"/>
      <c r="J93" s="421"/>
      <c r="K93" s="421"/>
      <c r="L93" s="421"/>
      <c r="M93" s="421"/>
      <c r="N93" s="421"/>
      <c r="O93" s="421"/>
      <c r="P93" s="421"/>
      <c r="Q93" s="421"/>
      <c r="R93" s="421"/>
      <c r="S93" s="440"/>
      <c r="T93" s="440"/>
      <c r="U93" s="440"/>
      <c r="V93" s="440"/>
      <c r="W93" s="440"/>
      <c r="X93" s="440"/>
      <c r="Y93" s="440"/>
      <c r="Z93" s="440"/>
      <c r="AA93" s="440"/>
      <c r="AB93" s="440"/>
      <c r="AC93" s="440"/>
      <c r="AD93" s="440"/>
      <c r="AE93" s="440"/>
      <c r="AF93" s="440"/>
      <c r="AG93" s="440"/>
      <c r="AH93" s="440"/>
    </row>
    <row r="94" spans="1:34" x14ac:dyDescent="0.35">
      <c r="A94" s="421"/>
      <c r="B94" s="421"/>
      <c r="C94" s="421"/>
      <c r="D94" s="421"/>
      <c r="E94" s="421"/>
      <c r="F94" s="421"/>
      <c r="G94" s="421"/>
      <c r="H94" s="421"/>
      <c r="I94" s="421"/>
      <c r="J94" s="421"/>
      <c r="K94" s="421"/>
      <c r="L94" s="421"/>
      <c r="M94" s="421"/>
      <c r="N94" s="421"/>
      <c r="O94" s="421"/>
      <c r="P94" s="421"/>
      <c r="Q94" s="421"/>
      <c r="R94" s="421"/>
      <c r="S94" s="440"/>
      <c r="T94" s="440"/>
      <c r="U94" s="440"/>
      <c r="V94" s="440"/>
      <c r="W94" s="440"/>
      <c r="X94" s="440"/>
      <c r="Y94" s="440"/>
      <c r="Z94" s="440"/>
      <c r="AA94" s="440"/>
      <c r="AB94" s="440"/>
      <c r="AC94" s="440"/>
      <c r="AD94" s="440"/>
      <c r="AE94" s="440"/>
      <c r="AF94" s="440"/>
      <c r="AG94" s="440"/>
      <c r="AH94" s="440"/>
    </row>
    <row r="95" spans="1:34" x14ac:dyDescent="0.35">
      <c r="A95" s="421"/>
      <c r="B95" s="421"/>
      <c r="C95" s="421"/>
      <c r="D95" s="421"/>
      <c r="E95" s="421"/>
      <c r="F95" s="421"/>
      <c r="G95" s="421"/>
      <c r="H95" s="421"/>
      <c r="I95" s="421"/>
      <c r="J95" s="421"/>
      <c r="K95" s="421"/>
      <c r="L95" s="421"/>
      <c r="M95" s="421"/>
      <c r="N95" s="421"/>
      <c r="O95" s="421"/>
      <c r="P95" s="421"/>
      <c r="Q95" s="421"/>
      <c r="R95" s="421"/>
      <c r="S95" s="440"/>
      <c r="T95" s="440"/>
      <c r="U95" s="440"/>
      <c r="V95" s="440"/>
      <c r="W95" s="440"/>
      <c r="X95" s="440"/>
      <c r="Y95" s="440"/>
      <c r="Z95" s="440"/>
      <c r="AA95" s="440"/>
      <c r="AB95" s="440"/>
      <c r="AC95" s="440"/>
      <c r="AD95" s="440"/>
      <c r="AE95" s="440"/>
      <c r="AF95" s="440"/>
      <c r="AG95" s="440"/>
      <c r="AH95" s="440"/>
    </row>
    <row r="96" spans="1:34" x14ac:dyDescent="0.35">
      <c r="A96" s="421"/>
      <c r="B96" s="421"/>
      <c r="C96" s="421"/>
      <c r="D96" s="421"/>
      <c r="E96" s="421"/>
      <c r="F96" s="421"/>
      <c r="G96" s="421"/>
      <c r="H96" s="421"/>
      <c r="I96" s="421"/>
      <c r="J96" s="421"/>
      <c r="K96" s="421"/>
      <c r="L96" s="421"/>
      <c r="M96" s="421"/>
      <c r="N96" s="421"/>
      <c r="O96" s="421"/>
      <c r="P96" s="421"/>
      <c r="Q96" s="421"/>
      <c r="R96" s="421"/>
      <c r="S96" s="440"/>
      <c r="T96" s="440"/>
      <c r="U96" s="440"/>
      <c r="V96" s="440"/>
      <c r="W96" s="440"/>
      <c r="X96" s="440"/>
      <c r="Y96" s="440"/>
      <c r="Z96" s="440"/>
      <c r="AA96" s="440"/>
      <c r="AB96" s="440"/>
      <c r="AC96" s="440"/>
      <c r="AD96" s="440"/>
      <c r="AE96" s="440"/>
      <c r="AF96" s="440"/>
      <c r="AG96" s="440"/>
      <c r="AH96" s="440"/>
    </row>
    <row r="97" spans="1:34" x14ac:dyDescent="0.35">
      <c r="A97" s="421"/>
      <c r="B97" s="421"/>
      <c r="C97" s="421"/>
      <c r="D97" s="421"/>
      <c r="E97" s="421"/>
      <c r="F97" s="421"/>
      <c r="G97" s="421"/>
      <c r="H97" s="421"/>
      <c r="I97" s="421"/>
      <c r="J97" s="421"/>
      <c r="K97" s="421"/>
      <c r="L97" s="421"/>
      <c r="M97" s="421"/>
      <c r="N97" s="421"/>
      <c r="O97" s="421"/>
      <c r="P97" s="421"/>
      <c r="Q97" s="421"/>
      <c r="R97" s="421"/>
      <c r="S97" s="440"/>
      <c r="T97" s="440"/>
      <c r="U97" s="440"/>
      <c r="V97" s="440"/>
      <c r="W97" s="440"/>
      <c r="X97" s="440"/>
      <c r="Y97" s="440"/>
      <c r="Z97" s="440"/>
      <c r="AA97" s="440"/>
      <c r="AB97" s="440"/>
      <c r="AC97" s="440"/>
      <c r="AD97" s="440"/>
      <c r="AE97" s="440"/>
      <c r="AF97" s="440"/>
      <c r="AG97" s="440"/>
      <c r="AH97" s="440"/>
    </row>
    <row r="98" spans="1:34" x14ac:dyDescent="0.35">
      <c r="A98" s="421"/>
      <c r="B98" s="421"/>
      <c r="C98" s="421"/>
      <c r="D98" s="421"/>
      <c r="E98" s="421"/>
      <c r="F98" s="421"/>
      <c r="G98" s="421"/>
      <c r="H98" s="421"/>
      <c r="I98" s="421"/>
      <c r="J98" s="421"/>
      <c r="K98" s="421"/>
      <c r="L98" s="421"/>
      <c r="M98" s="421"/>
      <c r="N98" s="421"/>
      <c r="O98" s="421"/>
      <c r="P98" s="421"/>
      <c r="Q98" s="421"/>
      <c r="R98" s="421"/>
      <c r="S98" s="440"/>
      <c r="T98" s="440"/>
      <c r="U98" s="440"/>
      <c r="V98" s="440"/>
      <c r="W98" s="440"/>
      <c r="X98" s="440"/>
      <c r="Y98" s="440"/>
      <c r="Z98" s="440"/>
      <c r="AA98" s="440"/>
      <c r="AB98" s="440"/>
      <c r="AC98" s="440"/>
      <c r="AD98" s="440"/>
      <c r="AE98" s="440"/>
      <c r="AF98" s="440"/>
      <c r="AG98" s="440"/>
      <c r="AH98" s="440"/>
    </row>
    <row r="99" spans="1:34" x14ac:dyDescent="0.35">
      <c r="A99" s="421"/>
      <c r="B99" s="421"/>
      <c r="C99" s="421"/>
      <c r="D99" s="421"/>
      <c r="E99" s="421"/>
      <c r="F99" s="421"/>
      <c r="G99" s="421"/>
      <c r="H99" s="421"/>
      <c r="I99" s="421"/>
      <c r="J99" s="421"/>
      <c r="K99" s="421"/>
      <c r="L99" s="421"/>
      <c r="M99" s="421"/>
      <c r="N99" s="421"/>
      <c r="O99" s="421"/>
      <c r="P99" s="421"/>
      <c r="Q99" s="421"/>
      <c r="R99" s="421"/>
      <c r="S99" s="440"/>
      <c r="T99" s="440"/>
      <c r="U99" s="440"/>
      <c r="V99" s="440"/>
      <c r="W99" s="440"/>
      <c r="X99" s="440"/>
      <c r="Y99" s="440"/>
      <c r="Z99" s="440"/>
      <c r="AA99" s="440"/>
      <c r="AB99" s="440"/>
      <c r="AC99" s="440" t="s">
        <v>219</v>
      </c>
      <c r="AD99" s="440"/>
      <c r="AE99" s="440"/>
      <c r="AF99" s="440"/>
      <c r="AG99" s="440"/>
      <c r="AH99" s="440"/>
    </row>
  </sheetData>
  <sheetProtection algorithmName="SHA-512" hashValue="7PYHlTxFIAXmI+D9WsYXkwjTxTewGSLbSfF6yOQVlFxqo4eogaSPA0n4iPz8rw0wM9Q8qC20Fwu29c1TIXKMhg==" saltValue="35x6vBlnfstJP5t2Phdfzg==" spinCount="100000" sheet="1" objects="1" scenarios="1"/>
  <mergeCells count="36">
    <mergeCell ref="N9:O9"/>
    <mergeCell ref="U4:V4"/>
    <mergeCell ref="I7:Q7"/>
    <mergeCell ref="C5:M5"/>
    <mergeCell ref="C8:H8"/>
    <mergeCell ref="C9:K9"/>
    <mergeCell ref="C4:M4"/>
    <mergeCell ref="T9:V20"/>
    <mergeCell ref="D21:O21"/>
    <mergeCell ref="P20:Q20"/>
    <mergeCell ref="C19:Q19"/>
    <mergeCell ref="C10:D10"/>
    <mergeCell ref="E10:J10"/>
    <mergeCell ref="F11:K11"/>
    <mergeCell ref="E12:K12"/>
    <mergeCell ref="N14:O14"/>
    <mergeCell ref="N15:O15"/>
    <mergeCell ref="N11:O11"/>
    <mergeCell ref="N12:O12"/>
    <mergeCell ref="N13:O13"/>
    <mergeCell ref="C25:Q25"/>
    <mergeCell ref="X8:AA9"/>
    <mergeCell ref="F16:K16"/>
    <mergeCell ref="C17:K17"/>
    <mergeCell ref="C15:D15"/>
    <mergeCell ref="E15:K15"/>
    <mergeCell ref="C22:Q22"/>
    <mergeCell ref="D20:O20"/>
    <mergeCell ref="C23:Q23"/>
    <mergeCell ref="F14:K14"/>
    <mergeCell ref="I8:R8"/>
    <mergeCell ref="N16:O16"/>
    <mergeCell ref="N17:O17"/>
    <mergeCell ref="C12:D12"/>
    <mergeCell ref="F13:K13"/>
    <mergeCell ref="N10:O10"/>
  </mergeCells>
  <dataValidations count="1">
    <dataValidation allowBlank="1" showErrorMessage="1" promptTitle="Hinweis:" prompt="Wählen Sie im Dropdown-menü das Tabellenblatt an und klicken Sie anschließend auf den Link." sqref="U4:V4" xr:uid="{00000000-0002-0000-1300-000000000000}"/>
  </dataValidations>
  <hyperlinks>
    <hyperlink ref="P20" r:id="rId1" xr:uid="{00000000-0004-0000-1300-000000000000}"/>
  </hyperlinks>
  <pageMargins left="0.39370078740157483" right="0.19685039370078741" top="0.19685039370078741" bottom="0.19685039370078741" header="0.31496062992125984" footer="0.31496062992125984"/>
  <pageSetup paperSize="9" scale="89" orientation="portrait" r:id="rId2"/>
  <extLst>
    <ext xmlns:x14="http://schemas.microsoft.com/office/spreadsheetml/2009/9/main" uri="{78C0D931-6437-407d-A8EE-F0AAD7539E65}">
      <x14:conditionalFormattings>
        <x14:conditionalFormatting xmlns:xm="http://schemas.microsoft.com/office/excel/2006/main">
          <x14:cfRule type="expression" priority="2" id="{83051A14-4BB8-480B-9BFB-EF996AE4D845}">
            <xm:f>SUM(Begl_Öffentlichkeitsarbeit!$M$25:$M$34)&gt;0</xm:f>
            <x14:dxf>
              <font>
                <color rgb="FFFF0000"/>
              </font>
            </x14:dxf>
          </x14:cfRule>
          <xm:sqref>N11 N13 N14:O14 N16</xm:sqref>
        </x14:conditionalFormatting>
        <x14:conditionalFormatting xmlns:xm="http://schemas.microsoft.com/office/excel/2006/main">
          <x14:cfRule type="expression" priority="4" id="{BEA9B409-352F-402B-B50B-02182DBE93E8}">
            <xm:f>SUM(Begl_Öffentlichkeitsarbeit!$M$14:$M$19)&gt;0</xm:f>
            <x14:dxf>
              <font>
                <color rgb="FFFF0000"/>
              </font>
            </x14:dxf>
          </x14:cfRule>
          <xm:sqref>N11:O11</xm:sqref>
        </x14:conditionalFormatting>
        <x14:conditionalFormatting xmlns:xm="http://schemas.microsoft.com/office/excel/2006/main">
          <x14:cfRule type="expression" priority="1" id="{59237850-10B8-4EEE-8461-291329043BE9}">
            <xm:f>SUM(Begl_Öffentlichkeitsarbeit!$M$38:$M$39)&gt;0</xm:f>
            <x14:dxf>
              <font>
                <color rgb="FFFF0000"/>
              </font>
            </x14:dxf>
          </x14:cfRule>
          <xm:sqref>N16:O16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5"/>
  <dimension ref="A1:AC100"/>
  <sheetViews>
    <sheetView showGridLines="0" showRowColHeaders="0" zoomScaleNormal="100" zoomScaleSheetLayoutView="100" workbookViewId="0">
      <selection activeCell="C6" sqref="C6:J13"/>
    </sheetView>
  </sheetViews>
  <sheetFormatPr baseColWidth="10" defaultColWidth="11.453125" defaultRowHeight="11.5" x14ac:dyDescent="0.25"/>
  <cols>
    <col min="1" max="2" width="2.26953125" style="86" customWidth="1"/>
    <col min="3" max="3" width="4.26953125" style="86" customWidth="1"/>
    <col min="4" max="4" width="8.54296875" style="86" customWidth="1"/>
    <col min="5" max="5" width="24.26953125" style="86" customWidth="1"/>
    <col min="6" max="8" width="12.453125" style="86" customWidth="1"/>
    <col min="9" max="9" width="7.7265625" style="86" customWidth="1"/>
    <col min="10" max="10" width="8.453125" style="86" customWidth="1"/>
    <col min="11" max="11" width="2.26953125" style="86" customWidth="1"/>
    <col min="12" max="12" width="1.81640625" style="86" customWidth="1"/>
    <col min="13" max="13" width="38.453125" style="86" customWidth="1"/>
    <col min="14" max="14" width="2.26953125" style="86" customWidth="1"/>
    <col min="15" max="16384" width="11.453125" style="86"/>
  </cols>
  <sheetData>
    <row r="1" spans="1:29" x14ac:dyDescent="0.25">
      <c r="A1" s="432" t="s">
        <v>219</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row>
    <row r="2" spans="1:29" x14ac:dyDescent="0.25">
      <c r="A2" s="432"/>
      <c r="B2" s="1"/>
      <c r="C2" s="1"/>
      <c r="D2" s="1"/>
      <c r="E2" s="1"/>
      <c r="F2" s="1"/>
      <c r="G2" s="1"/>
      <c r="H2" s="1"/>
      <c r="I2" s="1"/>
      <c r="J2" s="1"/>
      <c r="K2" s="1"/>
      <c r="L2" s="432"/>
      <c r="M2" s="432"/>
      <c r="N2" s="432"/>
      <c r="O2" s="432"/>
      <c r="P2" s="432"/>
      <c r="Q2" s="432"/>
      <c r="R2" s="432"/>
      <c r="S2" s="432"/>
      <c r="T2" s="432"/>
      <c r="U2" s="432"/>
      <c r="V2" s="432"/>
      <c r="W2" s="432"/>
      <c r="X2" s="432"/>
      <c r="Y2" s="432"/>
      <c r="Z2" s="432"/>
      <c r="AA2" s="432"/>
      <c r="AB2" s="432"/>
      <c r="AC2" s="432"/>
    </row>
    <row r="3" spans="1:29" ht="17.25" customHeight="1" x14ac:dyDescent="0.25">
      <c r="A3" s="432"/>
      <c r="B3" s="1"/>
      <c r="C3" s="614" t="s">
        <v>180</v>
      </c>
      <c r="D3" s="614"/>
      <c r="E3" s="614"/>
      <c r="F3" s="107"/>
      <c r="G3" s="107"/>
      <c r="H3" s="107"/>
      <c r="I3" s="107"/>
      <c r="J3" s="107"/>
      <c r="K3" s="1"/>
      <c r="L3" s="421"/>
      <c r="M3" s="421"/>
      <c r="N3" s="421"/>
      <c r="O3" s="421"/>
      <c r="P3" s="432"/>
      <c r="Q3" s="432"/>
      <c r="R3" s="432"/>
      <c r="S3" s="432"/>
      <c r="T3" s="432"/>
      <c r="U3" s="432"/>
      <c r="V3" s="432"/>
      <c r="W3" s="432"/>
      <c r="X3" s="432"/>
      <c r="Y3" s="432"/>
      <c r="Z3" s="432"/>
      <c r="AA3" s="432"/>
      <c r="AB3" s="432"/>
      <c r="AC3" s="432"/>
    </row>
    <row r="4" spans="1:29" ht="18.75" customHeight="1" x14ac:dyDescent="0.25">
      <c r="A4" s="432"/>
      <c r="B4" s="1"/>
      <c r="C4" s="614"/>
      <c r="D4" s="614"/>
      <c r="E4" s="614"/>
      <c r="F4" s="107"/>
      <c r="G4" s="107"/>
      <c r="H4" s="107"/>
      <c r="I4" s="107"/>
      <c r="J4" s="107"/>
      <c r="K4" s="218"/>
      <c r="L4" s="441"/>
      <c r="M4" s="441"/>
      <c r="N4" s="441"/>
      <c r="O4" s="441"/>
      <c r="P4" s="432"/>
      <c r="Q4" s="432"/>
      <c r="R4" s="432"/>
      <c r="S4" s="432"/>
      <c r="T4" s="432"/>
      <c r="U4" s="432"/>
      <c r="V4" s="432"/>
      <c r="W4" s="432"/>
      <c r="X4" s="432"/>
      <c r="Y4" s="432"/>
      <c r="Z4" s="432"/>
      <c r="AA4" s="432"/>
      <c r="AB4" s="432"/>
      <c r="AC4" s="432"/>
    </row>
    <row r="5" spans="1:29" ht="15" customHeight="1" x14ac:dyDescent="0.25">
      <c r="A5" s="432"/>
      <c r="B5" s="1"/>
      <c r="C5" s="983" t="s">
        <v>182</v>
      </c>
      <c r="D5" s="983"/>
      <c r="E5" s="984" t="s">
        <v>68</v>
      </c>
      <c r="F5" s="984"/>
      <c r="G5" s="984"/>
      <c r="H5" s="984"/>
      <c r="I5" s="984"/>
      <c r="J5" s="984"/>
      <c r="K5" s="230"/>
      <c r="L5" s="442"/>
      <c r="M5" s="982" t="str">
        <f>IF(Ausgabenübersicht!I8&lt;&gt;"",Texte!A45,"")</f>
        <v/>
      </c>
      <c r="N5" s="432"/>
      <c r="O5" s="432"/>
      <c r="P5" s="432"/>
      <c r="Q5" s="432"/>
      <c r="R5" s="432"/>
      <c r="S5" s="432"/>
      <c r="T5" s="432"/>
      <c r="U5" s="432"/>
      <c r="V5" s="432"/>
      <c r="W5" s="432"/>
      <c r="X5" s="432"/>
      <c r="Y5" s="432"/>
      <c r="Z5" s="432"/>
      <c r="AA5" s="432"/>
      <c r="AB5" s="432"/>
      <c r="AC5" s="432"/>
    </row>
    <row r="6" spans="1:29" ht="23.25" customHeight="1" x14ac:dyDescent="0.25">
      <c r="A6" s="432"/>
      <c r="B6" s="1"/>
      <c r="C6" s="987"/>
      <c r="D6" s="987"/>
      <c r="E6" s="987"/>
      <c r="F6" s="987"/>
      <c r="G6" s="987"/>
      <c r="H6" s="987"/>
      <c r="I6" s="987"/>
      <c r="J6" s="987"/>
      <c r="K6" s="1"/>
      <c r="L6" s="432"/>
      <c r="M6" s="982"/>
      <c r="N6" s="432"/>
      <c r="O6" s="432"/>
      <c r="P6" s="432"/>
      <c r="Q6" s="432"/>
      <c r="R6" s="432"/>
      <c r="S6" s="432"/>
      <c r="T6" s="432"/>
      <c r="U6" s="432"/>
      <c r="V6" s="432"/>
      <c r="W6" s="432"/>
      <c r="X6" s="432"/>
      <c r="Y6" s="432"/>
      <c r="Z6" s="432"/>
      <c r="AA6" s="432"/>
      <c r="AB6" s="432"/>
      <c r="AC6" s="432"/>
    </row>
    <row r="7" spans="1:29" ht="23.25" customHeight="1" x14ac:dyDescent="0.25">
      <c r="A7" s="432"/>
      <c r="B7" s="1"/>
      <c r="C7" s="987"/>
      <c r="D7" s="987"/>
      <c r="E7" s="987"/>
      <c r="F7" s="987"/>
      <c r="G7" s="987"/>
      <c r="H7" s="987"/>
      <c r="I7" s="987"/>
      <c r="J7" s="987"/>
      <c r="K7" s="1"/>
      <c r="L7" s="432"/>
      <c r="M7" s="982"/>
      <c r="N7" s="432"/>
      <c r="O7" s="432"/>
      <c r="P7" s="432"/>
      <c r="Q7" s="432"/>
      <c r="R7" s="432"/>
      <c r="S7" s="432"/>
      <c r="T7" s="432"/>
      <c r="U7" s="432"/>
      <c r="V7" s="432"/>
      <c r="W7" s="432"/>
      <c r="X7" s="432"/>
      <c r="Y7" s="432"/>
      <c r="Z7" s="432"/>
      <c r="AA7" s="432"/>
      <c r="AB7" s="432"/>
      <c r="AC7" s="432"/>
    </row>
    <row r="8" spans="1:29" ht="23.25" customHeight="1" x14ac:dyDescent="0.25">
      <c r="A8" s="432"/>
      <c r="B8" s="1"/>
      <c r="C8" s="987"/>
      <c r="D8" s="987"/>
      <c r="E8" s="987"/>
      <c r="F8" s="987"/>
      <c r="G8" s="987"/>
      <c r="H8" s="987"/>
      <c r="I8" s="987"/>
      <c r="J8" s="987"/>
      <c r="K8" s="1"/>
      <c r="L8" s="432"/>
      <c r="M8" s="982"/>
      <c r="N8" s="432"/>
      <c r="O8" s="432"/>
      <c r="P8" s="432"/>
      <c r="Q8" s="432"/>
      <c r="R8" s="432"/>
      <c r="S8" s="432"/>
      <c r="T8" s="432"/>
      <c r="U8" s="432"/>
      <c r="V8" s="432"/>
      <c r="W8" s="432"/>
      <c r="X8" s="432"/>
      <c r="Y8" s="432"/>
      <c r="Z8" s="432"/>
      <c r="AA8" s="432"/>
      <c r="AB8" s="432"/>
      <c r="AC8" s="432"/>
    </row>
    <row r="9" spans="1:29" ht="22.9" customHeight="1" x14ac:dyDescent="0.25">
      <c r="A9" s="432"/>
      <c r="B9" s="1"/>
      <c r="C9" s="987"/>
      <c r="D9" s="987"/>
      <c r="E9" s="987"/>
      <c r="F9" s="987"/>
      <c r="G9" s="987"/>
      <c r="H9" s="987"/>
      <c r="I9" s="987"/>
      <c r="J9" s="987"/>
      <c r="K9" s="1"/>
      <c r="L9" s="432"/>
      <c r="M9" s="982"/>
      <c r="N9" s="432"/>
      <c r="O9" s="432"/>
      <c r="P9" s="432"/>
      <c r="Q9" s="432"/>
      <c r="R9" s="432"/>
      <c r="S9" s="432"/>
      <c r="T9" s="432"/>
      <c r="U9" s="432"/>
      <c r="V9" s="432"/>
      <c r="W9" s="432"/>
      <c r="X9" s="432"/>
      <c r="Y9" s="432"/>
      <c r="Z9" s="432"/>
      <c r="AA9" s="432"/>
      <c r="AB9" s="432"/>
      <c r="AC9" s="432"/>
    </row>
    <row r="10" spans="1:29" ht="22.9" customHeight="1" x14ac:dyDescent="0.25">
      <c r="A10" s="432"/>
      <c r="B10" s="1"/>
      <c r="C10" s="987"/>
      <c r="D10" s="987"/>
      <c r="E10" s="987"/>
      <c r="F10" s="987"/>
      <c r="G10" s="987"/>
      <c r="H10" s="987"/>
      <c r="I10" s="987"/>
      <c r="J10" s="987"/>
      <c r="K10" s="231"/>
      <c r="L10" s="433"/>
      <c r="M10" s="432"/>
      <c r="N10" s="432"/>
      <c r="O10" s="432"/>
      <c r="P10" s="432"/>
      <c r="Q10" s="432"/>
      <c r="R10" s="432"/>
      <c r="S10" s="432"/>
      <c r="T10" s="432"/>
      <c r="U10" s="432"/>
      <c r="V10" s="432"/>
      <c r="W10" s="432"/>
      <c r="X10" s="432"/>
      <c r="Y10" s="432"/>
      <c r="Z10" s="432"/>
      <c r="AA10" s="432"/>
      <c r="AB10" s="432"/>
      <c r="AC10" s="432"/>
    </row>
    <row r="11" spans="1:29" ht="23.25" customHeight="1" x14ac:dyDescent="0.25">
      <c r="A11" s="432"/>
      <c r="B11" s="1"/>
      <c r="C11" s="987"/>
      <c r="D11" s="987"/>
      <c r="E11" s="987"/>
      <c r="F11" s="987"/>
      <c r="G11" s="987"/>
      <c r="H11" s="987"/>
      <c r="I11" s="987"/>
      <c r="J11" s="987"/>
      <c r="K11" s="232"/>
      <c r="L11" s="443"/>
      <c r="M11" s="432"/>
      <c r="N11" s="432"/>
      <c r="O11" s="432"/>
      <c r="P11" s="432"/>
      <c r="Q11" s="432"/>
      <c r="R11" s="432"/>
      <c r="S11" s="432"/>
      <c r="T11" s="432"/>
      <c r="U11" s="432"/>
      <c r="V11" s="432"/>
      <c r="W11" s="432"/>
      <c r="X11" s="432"/>
      <c r="Y11" s="432"/>
      <c r="Z11" s="432"/>
      <c r="AA11" s="432"/>
      <c r="AB11" s="432"/>
      <c r="AC11" s="432"/>
    </row>
    <row r="12" spans="1:29" ht="12" customHeight="1" x14ac:dyDescent="0.25">
      <c r="A12" s="432"/>
      <c r="B12" s="1"/>
      <c r="C12" s="987"/>
      <c r="D12" s="987"/>
      <c r="E12" s="987"/>
      <c r="F12" s="987"/>
      <c r="G12" s="987"/>
      <c r="H12" s="987"/>
      <c r="I12" s="987"/>
      <c r="J12" s="987"/>
      <c r="K12" s="233"/>
      <c r="L12" s="444"/>
      <c r="M12" s="445"/>
      <c r="N12" s="432"/>
      <c r="O12" s="432"/>
      <c r="P12" s="432"/>
      <c r="Q12" s="432"/>
      <c r="R12" s="432"/>
      <c r="S12" s="432"/>
      <c r="T12" s="432"/>
      <c r="U12" s="432"/>
      <c r="V12" s="432"/>
      <c r="W12" s="432"/>
      <c r="X12" s="432"/>
      <c r="Y12" s="432"/>
      <c r="Z12" s="432"/>
      <c r="AA12" s="432"/>
      <c r="AB12" s="432"/>
      <c r="AC12" s="432"/>
    </row>
    <row r="13" spans="1:29" ht="12" customHeight="1" x14ac:dyDescent="0.25">
      <c r="A13" s="432"/>
      <c r="B13" s="1"/>
      <c r="C13" s="987"/>
      <c r="D13" s="987"/>
      <c r="E13" s="987"/>
      <c r="F13" s="987"/>
      <c r="G13" s="987"/>
      <c r="H13" s="987"/>
      <c r="I13" s="987"/>
      <c r="J13" s="987"/>
      <c r="K13" s="233"/>
      <c r="L13" s="444"/>
      <c r="M13" s="445"/>
      <c r="N13" s="432"/>
      <c r="O13" s="432"/>
      <c r="P13" s="432"/>
      <c r="Q13" s="432"/>
      <c r="R13" s="432"/>
      <c r="S13" s="432"/>
      <c r="T13" s="432"/>
      <c r="U13" s="432"/>
      <c r="V13" s="432"/>
      <c r="W13" s="432"/>
      <c r="X13" s="432"/>
      <c r="Y13" s="432"/>
      <c r="Z13" s="432"/>
      <c r="AA13" s="432"/>
      <c r="AB13" s="432"/>
      <c r="AC13" s="432"/>
    </row>
    <row r="14" spans="1:29" ht="3.75" customHeight="1" x14ac:dyDescent="0.25">
      <c r="A14" s="432"/>
      <c r="B14" s="1"/>
      <c r="C14" s="5"/>
      <c r="D14" s="5"/>
      <c r="E14" s="5"/>
      <c r="F14" s="5"/>
      <c r="G14" s="5"/>
      <c r="H14" s="5"/>
      <c r="I14" s="5"/>
      <c r="J14" s="5"/>
      <c r="K14" s="233"/>
      <c r="L14" s="444"/>
      <c r="M14" s="445"/>
      <c r="N14" s="432"/>
      <c r="O14" s="432"/>
      <c r="P14" s="432"/>
      <c r="Q14" s="432"/>
      <c r="R14" s="432"/>
      <c r="S14" s="432"/>
      <c r="T14" s="432"/>
      <c r="U14" s="432"/>
      <c r="V14" s="432"/>
      <c r="W14" s="432"/>
      <c r="X14" s="432"/>
      <c r="Y14" s="432"/>
      <c r="Z14" s="432"/>
      <c r="AA14" s="432"/>
      <c r="AB14" s="432"/>
      <c r="AC14" s="432"/>
    </row>
    <row r="15" spans="1:29" ht="15" customHeight="1" x14ac:dyDescent="0.25">
      <c r="A15" s="432"/>
      <c r="B15" s="1"/>
      <c r="C15" s="983" t="s">
        <v>182</v>
      </c>
      <c r="D15" s="983"/>
      <c r="E15" s="984" t="s">
        <v>68</v>
      </c>
      <c r="F15" s="984"/>
      <c r="G15" s="984"/>
      <c r="H15" s="984"/>
      <c r="I15" s="984"/>
      <c r="J15" s="984"/>
      <c r="K15" s="233"/>
      <c r="L15" s="444"/>
      <c r="M15" s="445"/>
      <c r="N15" s="432"/>
      <c r="O15" s="432"/>
      <c r="P15" s="432"/>
      <c r="Q15" s="432"/>
      <c r="R15" s="432"/>
      <c r="S15" s="432"/>
      <c r="T15" s="432"/>
      <c r="U15" s="432"/>
      <c r="V15" s="432"/>
      <c r="W15" s="432"/>
      <c r="X15" s="432"/>
      <c r="Y15" s="432"/>
      <c r="Z15" s="432"/>
      <c r="AA15" s="432"/>
      <c r="AB15" s="432"/>
      <c r="AC15" s="432"/>
    </row>
    <row r="16" spans="1:29" ht="23.25" customHeight="1" x14ac:dyDescent="0.25">
      <c r="A16" s="432"/>
      <c r="B16" s="1"/>
      <c r="C16" s="987"/>
      <c r="D16" s="987"/>
      <c r="E16" s="987"/>
      <c r="F16" s="987"/>
      <c r="G16" s="987"/>
      <c r="H16" s="987"/>
      <c r="I16" s="987"/>
      <c r="J16" s="987"/>
      <c r="K16" s="233"/>
      <c r="L16" s="444"/>
      <c r="M16" s="445"/>
      <c r="N16" s="432"/>
      <c r="O16" s="432"/>
      <c r="P16" s="432"/>
      <c r="Q16" s="432"/>
      <c r="R16" s="432"/>
      <c r="S16" s="432"/>
      <c r="T16" s="432"/>
      <c r="U16" s="432"/>
      <c r="V16" s="432"/>
      <c r="W16" s="432"/>
      <c r="X16" s="432"/>
      <c r="Y16" s="432"/>
      <c r="Z16" s="432"/>
      <c r="AA16" s="432"/>
      <c r="AB16" s="432"/>
      <c r="AC16" s="432"/>
    </row>
    <row r="17" spans="1:29" ht="23.25" customHeight="1" x14ac:dyDescent="0.25">
      <c r="A17" s="432"/>
      <c r="B17" s="1"/>
      <c r="C17" s="987"/>
      <c r="D17" s="987"/>
      <c r="E17" s="987"/>
      <c r="F17" s="987"/>
      <c r="G17" s="987"/>
      <c r="H17" s="987"/>
      <c r="I17" s="987"/>
      <c r="J17" s="987"/>
      <c r="K17" s="234"/>
      <c r="L17" s="446"/>
      <c r="M17" s="447"/>
      <c r="N17" s="432"/>
      <c r="O17" s="432"/>
      <c r="P17" s="432"/>
      <c r="Q17" s="432"/>
      <c r="R17" s="432"/>
      <c r="S17" s="432"/>
      <c r="T17" s="432"/>
      <c r="U17" s="432"/>
      <c r="V17" s="432"/>
      <c r="W17" s="432"/>
      <c r="X17" s="432"/>
      <c r="Y17" s="432"/>
      <c r="Z17" s="432"/>
      <c r="AA17" s="432"/>
      <c r="AB17" s="432"/>
      <c r="AC17" s="432"/>
    </row>
    <row r="18" spans="1:29" ht="23.25" customHeight="1" x14ac:dyDescent="0.25">
      <c r="A18" s="432"/>
      <c r="B18" s="1"/>
      <c r="C18" s="987"/>
      <c r="D18" s="987"/>
      <c r="E18" s="987"/>
      <c r="F18" s="987"/>
      <c r="G18" s="987"/>
      <c r="H18" s="987"/>
      <c r="I18" s="987"/>
      <c r="J18" s="987"/>
      <c r="K18" s="15"/>
      <c r="L18" s="448"/>
      <c r="M18" s="447"/>
      <c r="N18" s="432"/>
      <c r="O18" s="432"/>
      <c r="P18" s="432"/>
      <c r="Q18" s="432"/>
      <c r="R18" s="432"/>
      <c r="S18" s="432"/>
      <c r="T18" s="432"/>
      <c r="U18" s="432"/>
      <c r="V18" s="432"/>
      <c r="W18" s="432"/>
      <c r="X18" s="432"/>
      <c r="Y18" s="432"/>
      <c r="Z18" s="432"/>
      <c r="AA18" s="432"/>
      <c r="AB18" s="432"/>
      <c r="AC18" s="432"/>
    </row>
    <row r="19" spans="1:29" ht="22.9" customHeight="1" x14ac:dyDescent="0.25">
      <c r="A19" s="432"/>
      <c r="B19" s="1"/>
      <c r="C19" s="987"/>
      <c r="D19" s="987"/>
      <c r="E19" s="987"/>
      <c r="F19" s="987"/>
      <c r="G19" s="987"/>
      <c r="H19" s="987"/>
      <c r="I19" s="987"/>
      <c r="J19" s="987"/>
      <c r="K19" s="15"/>
      <c r="L19" s="448"/>
      <c r="M19" s="447"/>
      <c r="N19" s="432"/>
      <c r="O19" s="432"/>
      <c r="P19" s="432"/>
      <c r="Q19" s="432"/>
      <c r="R19" s="432"/>
      <c r="S19" s="432"/>
      <c r="T19" s="432"/>
      <c r="U19" s="432"/>
      <c r="V19" s="432"/>
      <c r="W19" s="432"/>
      <c r="X19" s="432"/>
      <c r="Y19" s="432"/>
      <c r="Z19" s="432"/>
      <c r="AA19" s="432"/>
      <c r="AB19" s="432"/>
      <c r="AC19" s="432"/>
    </row>
    <row r="20" spans="1:29" ht="22.9" customHeight="1" x14ac:dyDescent="0.25">
      <c r="A20" s="432"/>
      <c r="B20" s="1"/>
      <c r="C20" s="987"/>
      <c r="D20" s="987"/>
      <c r="E20" s="987"/>
      <c r="F20" s="987"/>
      <c r="G20" s="987"/>
      <c r="H20" s="987"/>
      <c r="I20" s="987"/>
      <c r="J20" s="987"/>
      <c r="K20" s="231"/>
      <c r="L20" s="433"/>
      <c r="M20" s="447"/>
      <c r="N20" s="432"/>
      <c r="O20" s="432"/>
      <c r="P20" s="432"/>
      <c r="Q20" s="432"/>
      <c r="R20" s="432"/>
      <c r="S20" s="432"/>
      <c r="T20" s="432"/>
      <c r="U20" s="432"/>
      <c r="V20" s="432"/>
      <c r="W20" s="432"/>
      <c r="X20" s="432"/>
      <c r="Y20" s="432"/>
      <c r="Z20" s="432"/>
      <c r="AA20" s="432"/>
      <c r="AB20" s="432"/>
      <c r="AC20" s="432"/>
    </row>
    <row r="21" spans="1:29" ht="23.25" customHeight="1" x14ac:dyDescent="0.25">
      <c r="A21" s="432"/>
      <c r="B21" s="1"/>
      <c r="C21" s="987"/>
      <c r="D21" s="987"/>
      <c r="E21" s="987"/>
      <c r="F21" s="987"/>
      <c r="G21" s="987"/>
      <c r="H21" s="987"/>
      <c r="I21" s="987"/>
      <c r="J21" s="987"/>
      <c r="K21" s="12"/>
      <c r="L21" s="447"/>
      <c r="M21" s="447"/>
      <c r="N21" s="432"/>
      <c r="O21" s="432"/>
      <c r="P21" s="432"/>
      <c r="Q21" s="432"/>
      <c r="R21" s="432"/>
      <c r="S21" s="432"/>
      <c r="T21" s="432"/>
      <c r="U21" s="432"/>
      <c r="V21" s="432"/>
      <c r="W21" s="432"/>
      <c r="X21" s="432"/>
      <c r="Y21" s="432"/>
      <c r="Z21" s="432"/>
      <c r="AA21" s="432"/>
      <c r="AB21" s="432"/>
      <c r="AC21" s="432"/>
    </row>
    <row r="22" spans="1:29" ht="12" customHeight="1" x14ac:dyDescent="0.25">
      <c r="A22" s="432"/>
      <c r="B22" s="1"/>
      <c r="C22" s="987"/>
      <c r="D22" s="987"/>
      <c r="E22" s="987"/>
      <c r="F22" s="987"/>
      <c r="G22" s="987"/>
      <c r="H22" s="987"/>
      <c r="I22" s="987"/>
      <c r="J22" s="987"/>
      <c r="K22" s="235"/>
      <c r="L22" s="449"/>
      <c r="M22" s="445"/>
      <c r="N22" s="432"/>
      <c r="O22" s="432"/>
      <c r="P22" s="432"/>
      <c r="Q22" s="432"/>
      <c r="R22" s="432"/>
      <c r="S22" s="432"/>
      <c r="T22" s="432"/>
      <c r="U22" s="432"/>
      <c r="V22" s="432"/>
      <c r="W22" s="432"/>
      <c r="X22" s="432"/>
      <c r="Y22" s="432"/>
      <c r="Z22" s="432"/>
      <c r="AA22" s="432"/>
      <c r="AB22" s="432"/>
      <c r="AC22" s="432"/>
    </row>
    <row r="23" spans="1:29" ht="12.65" customHeight="1" x14ac:dyDescent="0.25">
      <c r="A23" s="432"/>
      <c r="B23" s="1"/>
      <c r="C23" s="987"/>
      <c r="D23" s="987"/>
      <c r="E23" s="987"/>
      <c r="F23" s="987"/>
      <c r="G23" s="987"/>
      <c r="H23" s="987"/>
      <c r="I23" s="987"/>
      <c r="J23" s="987"/>
      <c r="K23" s="236"/>
      <c r="L23" s="450"/>
      <c r="M23" s="432"/>
      <c r="N23" s="432"/>
      <c r="O23" s="432"/>
      <c r="P23" s="432"/>
      <c r="Q23" s="432"/>
      <c r="R23" s="432"/>
      <c r="S23" s="432"/>
      <c r="T23" s="432"/>
      <c r="U23" s="432"/>
      <c r="V23" s="432"/>
      <c r="W23" s="432"/>
      <c r="X23" s="432"/>
      <c r="Y23" s="432"/>
      <c r="Z23" s="432"/>
      <c r="AA23" s="432"/>
      <c r="AB23" s="432"/>
      <c r="AC23" s="432"/>
    </row>
    <row r="24" spans="1:29" ht="3.75" customHeight="1" x14ac:dyDescent="0.25">
      <c r="A24" s="432"/>
      <c r="B24" s="1"/>
      <c r="C24" s="5"/>
      <c r="D24" s="5"/>
      <c r="E24" s="5"/>
      <c r="F24" s="5"/>
      <c r="G24" s="5"/>
      <c r="H24" s="5"/>
      <c r="I24" s="5"/>
      <c r="J24" s="5"/>
      <c r="K24" s="236"/>
      <c r="L24" s="450"/>
      <c r="M24" s="432"/>
      <c r="N24" s="432"/>
      <c r="O24" s="432"/>
      <c r="P24" s="432"/>
      <c r="Q24" s="432"/>
      <c r="R24" s="432"/>
      <c r="S24" s="432"/>
      <c r="T24" s="432"/>
      <c r="U24" s="432"/>
      <c r="V24" s="432"/>
      <c r="W24" s="432"/>
      <c r="X24" s="432"/>
      <c r="Y24" s="432"/>
      <c r="Z24" s="432"/>
      <c r="AA24" s="432"/>
      <c r="AB24" s="432"/>
      <c r="AC24" s="432"/>
    </row>
    <row r="25" spans="1:29" ht="15" customHeight="1" x14ac:dyDescent="0.25">
      <c r="A25" s="432"/>
      <c r="B25" s="1"/>
      <c r="C25" s="983" t="s">
        <v>182</v>
      </c>
      <c r="D25" s="983"/>
      <c r="E25" s="984" t="s">
        <v>68</v>
      </c>
      <c r="F25" s="984"/>
      <c r="G25" s="984"/>
      <c r="H25" s="984"/>
      <c r="I25" s="984"/>
      <c r="J25" s="984"/>
      <c r="K25" s="1"/>
      <c r="L25" s="432"/>
      <c r="M25" s="432"/>
      <c r="N25" s="432"/>
      <c r="O25" s="432"/>
      <c r="P25" s="432"/>
      <c r="Q25" s="432"/>
      <c r="R25" s="432"/>
      <c r="S25" s="432"/>
      <c r="T25" s="432"/>
      <c r="U25" s="432"/>
      <c r="V25" s="432"/>
      <c r="W25" s="432"/>
      <c r="X25" s="432"/>
      <c r="Y25" s="432"/>
      <c r="Z25" s="432"/>
      <c r="AA25" s="432"/>
      <c r="AB25" s="432"/>
      <c r="AC25" s="432"/>
    </row>
    <row r="26" spans="1:29" ht="23.25" customHeight="1" x14ac:dyDescent="0.25">
      <c r="A26" s="432"/>
      <c r="B26" s="1"/>
      <c r="C26" s="987"/>
      <c r="D26" s="987"/>
      <c r="E26" s="987"/>
      <c r="F26" s="987"/>
      <c r="G26" s="987"/>
      <c r="H26" s="987"/>
      <c r="I26" s="987"/>
      <c r="J26" s="987"/>
      <c r="K26" s="1"/>
      <c r="L26" s="432"/>
      <c r="M26" s="432"/>
      <c r="N26" s="432"/>
      <c r="O26" s="432"/>
      <c r="P26" s="432"/>
      <c r="Q26" s="432"/>
      <c r="R26" s="432"/>
      <c r="S26" s="432"/>
      <c r="T26" s="432"/>
      <c r="U26" s="432"/>
      <c r="V26" s="432"/>
      <c r="W26" s="432"/>
      <c r="X26" s="432"/>
      <c r="Y26" s="432"/>
      <c r="Z26" s="432"/>
      <c r="AA26" s="432"/>
      <c r="AB26" s="432"/>
      <c r="AC26" s="432"/>
    </row>
    <row r="27" spans="1:29" ht="23.25" customHeight="1" x14ac:dyDescent="0.25">
      <c r="A27" s="432"/>
      <c r="B27" s="1"/>
      <c r="C27" s="987"/>
      <c r="D27" s="987"/>
      <c r="E27" s="987"/>
      <c r="F27" s="987"/>
      <c r="G27" s="987"/>
      <c r="H27" s="987"/>
      <c r="I27" s="987"/>
      <c r="J27" s="987"/>
      <c r="K27" s="1"/>
      <c r="L27" s="432"/>
      <c r="M27" s="432"/>
      <c r="N27" s="432"/>
      <c r="O27" s="432"/>
      <c r="P27" s="432"/>
      <c r="Q27" s="432"/>
      <c r="R27" s="432"/>
      <c r="S27" s="432"/>
      <c r="T27" s="432"/>
      <c r="U27" s="432"/>
      <c r="V27" s="432"/>
      <c r="W27" s="432"/>
      <c r="X27" s="432"/>
      <c r="Y27" s="432"/>
      <c r="Z27" s="432"/>
      <c r="AA27" s="432"/>
      <c r="AB27" s="432"/>
      <c r="AC27" s="432"/>
    </row>
    <row r="28" spans="1:29" ht="23.25" customHeight="1" x14ac:dyDescent="0.25">
      <c r="A28" s="432"/>
      <c r="B28" s="1"/>
      <c r="C28" s="987"/>
      <c r="D28" s="987"/>
      <c r="E28" s="987"/>
      <c r="F28" s="987"/>
      <c r="G28" s="987"/>
      <c r="H28" s="987"/>
      <c r="I28" s="987"/>
      <c r="J28" s="987"/>
      <c r="K28" s="1"/>
      <c r="L28" s="432"/>
      <c r="M28" s="432"/>
      <c r="N28" s="432"/>
      <c r="O28" s="432"/>
      <c r="P28" s="432"/>
      <c r="Q28" s="432"/>
      <c r="R28" s="432"/>
      <c r="S28" s="432"/>
      <c r="T28" s="432"/>
      <c r="U28" s="432"/>
      <c r="V28" s="432"/>
      <c r="W28" s="432"/>
      <c r="X28" s="432"/>
      <c r="Y28" s="432"/>
      <c r="Z28" s="432"/>
      <c r="AA28" s="432"/>
      <c r="AB28" s="432"/>
      <c r="AC28" s="432"/>
    </row>
    <row r="29" spans="1:29" ht="22.9" customHeight="1" x14ac:dyDescent="0.25">
      <c r="A29" s="432"/>
      <c r="B29" s="1"/>
      <c r="C29" s="987"/>
      <c r="D29" s="987"/>
      <c r="E29" s="987"/>
      <c r="F29" s="987"/>
      <c r="G29" s="987"/>
      <c r="H29" s="987"/>
      <c r="I29" s="987"/>
      <c r="J29" s="987"/>
      <c r="K29" s="1"/>
      <c r="L29" s="432"/>
      <c r="M29" s="432"/>
      <c r="N29" s="432"/>
      <c r="O29" s="432"/>
      <c r="P29" s="432"/>
      <c r="Q29" s="432"/>
      <c r="R29" s="432"/>
      <c r="S29" s="432"/>
      <c r="T29" s="432"/>
      <c r="U29" s="432"/>
      <c r="V29" s="432"/>
      <c r="W29" s="432"/>
      <c r="X29" s="432"/>
      <c r="Y29" s="432"/>
      <c r="Z29" s="432"/>
      <c r="AA29" s="432"/>
      <c r="AB29" s="432"/>
      <c r="AC29" s="432"/>
    </row>
    <row r="30" spans="1:29" ht="22.9" customHeight="1" x14ac:dyDescent="0.25">
      <c r="A30" s="432"/>
      <c r="B30" s="1"/>
      <c r="C30" s="987"/>
      <c r="D30" s="987"/>
      <c r="E30" s="987"/>
      <c r="F30" s="987"/>
      <c r="G30" s="987"/>
      <c r="H30" s="987"/>
      <c r="I30" s="987"/>
      <c r="J30" s="987"/>
      <c r="K30" s="1"/>
      <c r="L30" s="432"/>
      <c r="M30" s="432"/>
      <c r="N30" s="432"/>
      <c r="O30" s="432"/>
      <c r="P30" s="432"/>
      <c r="Q30" s="432"/>
      <c r="R30" s="432"/>
      <c r="S30" s="432"/>
      <c r="T30" s="432"/>
      <c r="U30" s="432"/>
      <c r="V30" s="432"/>
      <c r="W30" s="432"/>
      <c r="X30" s="432"/>
      <c r="Y30" s="432"/>
      <c r="Z30" s="432"/>
      <c r="AA30" s="432"/>
      <c r="AB30" s="432"/>
      <c r="AC30" s="432"/>
    </row>
    <row r="31" spans="1:29" ht="22.15" customHeight="1" x14ac:dyDescent="0.25">
      <c r="A31" s="432"/>
      <c r="B31" s="1"/>
      <c r="C31" s="987"/>
      <c r="D31" s="987"/>
      <c r="E31" s="987"/>
      <c r="F31" s="987"/>
      <c r="G31" s="987"/>
      <c r="H31" s="987"/>
      <c r="I31" s="987"/>
      <c r="J31" s="987"/>
      <c r="K31" s="1"/>
      <c r="L31" s="432"/>
      <c r="M31" s="432"/>
      <c r="N31" s="432"/>
      <c r="O31" s="432"/>
      <c r="P31" s="432"/>
      <c r="Q31" s="432"/>
      <c r="R31" s="432"/>
      <c r="S31" s="432"/>
      <c r="T31" s="432"/>
      <c r="U31" s="432"/>
      <c r="V31" s="432"/>
      <c r="W31" s="432"/>
      <c r="X31" s="432"/>
      <c r="Y31" s="432"/>
      <c r="Z31" s="432"/>
      <c r="AA31" s="432"/>
      <c r="AB31" s="432"/>
      <c r="AC31" s="432"/>
    </row>
    <row r="32" spans="1:29" ht="12" customHeight="1" x14ac:dyDescent="0.25">
      <c r="A32" s="432"/>
      <c r="B32" s="1"/>
      <c r="C32" s="987"/>
      <c r="D32" s="987"/>
      <c r="E32" s="987"/>
      <c r="F32" s="987"/>
      <c r="G32" s="987"/>
      <c r="H32" s="987"/>
      <c r="I32" s="987"/>
      <c r="J32" s="987"/>
      <c r="K32" s="1"/>
      <c r="L32" s="432"/>
      <c r="M32" s="432"/>
      <c r="N32" s="432"/>
      <c r="O32" s="432"/>
      <c r="P32" s="432"/>
      <c r="Q32" s="432"/>
      <c r="R32" s="432"/>
      <c r="S32" s="432"/>
      <c r="T32" s="432"/>
      <c r="U32" s="432"/>
      <c r="V32" s="432"/>
      <c r="W32" s="432"/>
      <c r="X32" s="432"/>
      <c r="Y32" s="432"/>
      <c r="Z32" s="432"/>
      <c r="AA32" s="432"/>
      <c r="AB32" s="432"/>
      <c r="AC32" s="432"/>
    </row>
    <row r="33" spans="1:29" ht="12.65" customHeight="1" x14ac:dyDescent="0.25">
      <c r="A33" s="432"/>
      <c r="B33" s="1"/>
      <c r="C33" s="987"/>
      <c r="D33" s="987"/>
      <c r="E33" s="987"/>
      <c r="F33" s="987"/>
      <c r="G33" s="987"/>
      <c r="H33" s="987"/>
      <c r="I33" s="987"/>
      <c r="J33" s="987"/>
      <c r="K33" s="1"/>
      <c r="L33" s="432"/>
      <c r="M33" s="432"/>
      <c r="N33" s="432"/>
      <c r="O33" s="432"/>
      <c r="P33" s="432"/>
      <c r="Q33" s="432"/>
      <c r="R33" s="432"/>
      <c r="S33" s="432"/>
      <c r="T33" s="432"/>
      <c r="U33" s="432"/>
      <c r="V33" s="432"/>
      <c r="W33" s="432"/>
      <c r="X33" s="432"/>
      <c r="Y33" s="432"/>
      <c r="Z33" s="432"/>
      <c r="AA33" s="432"/>
      <c r="AB33" s="432"/>
      <c r="AC33" s="432"/>
    </row>
    <row r="34" spans="1:29" ht="3.75" customHeight="1" x14ac:dyDescent="0.25">
      <c r="A34" s="432"/>
      <c r="B34" s="1"/>
      <c r="C34" s="5"/>
      <c r="D34" s="5"/>
      <c r="E34" s="5"/>
      <c r="F34" s="5"/>
      <c r="G34" s="5"/>
      <c r="H34" s="5"/>
      <c r="I34" s="5"/>
      <c r="J34" s="5"/>
      <c r="K34" s="1"/>
      <c r="L34" s="432"/>
      <c r="M34" s="432"/>
      <c r="N34" s="432"/>
      <c r="O34" s="432"/>
      <c r="P34" s="432"/>
      <c r="Q34" s="432"/>
      <c r="R34" s="432"/>
      <c r="S34" s="432"/>
      <c r="T34" s="432"/>
      <c r="U34" s="432"/>
      <c r="V34" s="432"/>
      <c r="W34" s="432"/>
      <c r="X34" s="432"/>
      <c r="Y34" s="432"/>
      <c r="Z34" s="432"/>
      <c r="AA34" s="432"/>
      <c r="AB34" s="432"/>
      <c r="AC34" s="432"/>
    </row>
    <row r="35" spans="1:29" ht="15" customHeight="1" x14ac:dyDescent="0.25">
      <c r="A35" s="432"/>
      <c r="B35" s="1"/>
      <c r="C35" s="983" t="s">
        <v>182</v>
      </c>
      <c r="D35" s="983"/>
      <c r="E35" s="984" t="s">
        <v>68</v>
      </c>
      <c r="F35" s="984"/>
      <c r="G35" s="984"/>
      <c r="H35" s="984"/>
      <c r="I35" s="984"/>
      <c r="J35" s="984"/>
      <c r="K35" s="1"/>
      <c r="L35" s="432"/>
      <c r="M35" s="432"/>
      <c r="N35" s="432"/>
      <c r="O35" s="432"/>
      <c r="P35" s="432"/>
      <c r="Q35" s="432"/>
      <c r="R35" s="432"/>
      <c r="S35" s="432"/>
      <c r="T35" s="432"/>
      <c r="U35" s="432"/>
      <c r="V35" s="432"/>
      <c r="W35" s="432"/>
      <c r="X35" s="432"/>
      <c r="Y35" s="432"/>
      <c r="Z35" s="432"/>
      <c r="AA35" s="432"/>
      <c r="AB35" s="432"/>
      <c r="AC35" s="432"/>
    </row>
    <row r="36" spans="1:29" ht="23.25" customHeight="1" x14ac:dyDescent="0.25">
      <c r="A36" s="432"/>
      <c r="B36" s="1"/>
      <c r="C36" s="987"/>
      <c r="D36" s="987"/>
      <c r="E36" s="987"/>
      <c r="F36" s="987"/>
      <c r="G36" s="987"/>
      <c r="H36" s="987"/>
      <c r="I36" s="987"/>
      <c r="J36" s="987"/>
      <c r="K36" s="1"/>
      <c r="L36" s="432"/>
      <c r="M36" s="432"/>
      <c r="N36" s="432"/>
      <c r="O36" s="432"/>
      <c r="P36" s="432"/>
      <c r="Q36" s="432"/>
      <c r="R36" s="432"/>
      <c r="S36" s="432"/>
      <c r="T36" s="432"/>
      <c r="U36" s="432"/>
      <c r="V36" s="432"/>
      <c r="W36" s="432"/>
      <c r="X36" s="432"/>
      <c r="Y36" s="432"/>
      <c r="Z36" s="432"/>
      <c r="AA36" s="432"/>
      <c r="AB36" s="432"/>
      <c r="AC36" s="432"/>
    </row>
    <row r="37" spans="1:29" ht="23.25" customHeight="1" x14ac:dyDescent="0.25">
      <c r="A37" s="432"/>
      <c r="B37" s="1"/>
      <c r="C37" s="987"/>
      <c r="D37" s="987"/>
      <c r="E37" s="987"/>
      <c r="F37" s="987"/>
      <c r="G37" s="987"/>
      <c r="H37" s="987"/>
      <c r="I37" s="987"/>
      <c r="J37" s="987"/>
      <c r="K37" s="1"/>
      <c r="L37" s="432"/>
      <c r="M37" s="432"/>
      <c r="N37" s="432"/>
      <c r="O37" s="432"/>
      <c r="P37" s="432"/>
      <c r="Q37" s="432"/>
      <c r="R37" s="432"/>
      <c r="S37" s="432"/>
      <c r="T37" s="432"/>
      <c r="U37" s="432"/>
      <c r="V37" s="432"/>
      <c r="W37" s="432"/>
      <c r="X37" s="432"/>
      <c r="Y37" s="432"/>
      <c r="Z37" s="432"/>
      <c r="AA37" s="432"/>
      <c r="AB37" s="432"/>
      <c r="AC37" s="432"/>
    </row>
    <row r="38" spans="1:29" ht="23.25" customHeight="1" x14ac:dyDescent="0.25">
      <c r="A38" s="432"/>
      <c r="B38" s="1"/>
      <c r="C38" s="987"/>
      <c r="D38" s="987"/>
      <c r="E38" s="987"/>
      <c r="F38" s="987"/>
      <c r="G38" s="987"/>
      <c r="H38" s="987"/>
      <c r="I38" s="987"/>
      <c r="J38" s="987"/>
      <c r="K38" s="1"/>
      <c r="L38" s="432"/>
      <c r="M38" s="432"/>
      <c r="N38" s="432"/>
      <c r="O38" s="432"/>
      <c r="P38" s="432"/>
      <c r="Q38" s="432"/>
      <c r="R38" s="432"/>
      <c r="S38" s="432"/>
      <c r="T38" s="432"/>
      <c r="U38" s="432"/>
      <c r="V38" s="432"/>
      <c r="W38" s="432"/>
      <c r="X38" s="432"/>
      <c r="Y38" s="432"/>
      <c r="Z38" s="432"/>
      <c r="AA38" s="432"/>
      <c r="AB38" s="432"/>
      <c r="AC38" s="432"/>
    </row>
    <row r="39" spans="1:29" ht="22.9" customHeight="1" x14ac:dyDescent="0.25">
      <c r="A39" s="432"/>
      <c r="B39" s="1"/>
      <c r="C39" s="987"/>
      <c r="D39" s="987"/>
      <c r="E39" s="987"/>
      <c r="F39" s="987"/>
      <c r="G39" s="987"/>
      <c r="H39" s="987"/>
      <c r="I39" s="987"/>
      <c r="J39" s="987"/>
      <c r="K39" s="1"/>
      <c r="L39" s="432"/>
      <c r="M39" s="432"/>
      <c r="N39" s="432"/>
      <c r="O39" s="432"/>
      <c r="P39" s="432"/>
      <c r="Q39" s="432"/>
      <c r="R39" s="432"/>
      <c r="S39" s="432"/>
      <c r="T39" s="432"/>
      <c r="U39" s="432"/>
      <c r="V39" s="432"/>
      <c r="W39" s="432"/>
      <c r="X39" s="432"/>
      <c r="Y39" s="432"/>
      <c r="Z39" s="432"/>
      <c r="AA39" s="432"/>
      <c r="AB39" s="432"/>
      <c r="AC39" s="432"/>
    </row>
    <row r="40" spans="1:29" ht="22.9" customHeight="1" x14ac:dyDescent="0.25">
      <c r="A40" s="432"/>
      <c r="B40" s="1"/>
      <c r="C40" s="987"/>
      <c r="D40" s="987"/>
      <c r="E40" s="987"/>
      <c r="F40" s="987"/>
      <c r="G40" s="987"/>
      <c r="H40" s="987"/>
      <c r="I40" s="987"/>
      <c r="J40" s="987"/>
      <c r="K40" s="1"/>
      <c r="L40" s="432"/>
      <c r="M40" s="432"/>
      <c r="N40" s="432"/>
      <c r="O40" s="432"/>
      <c r="P40" s="432"/>
      <c r="Q40" s="432"/>
      <c r="R40" s="432"/>
      <c r="S40" s="432"/>
      <c r="T40" s="432"/>
      <c r="U40" s="432"/>
      <c r="V40" s="432"/>
      <c r="W40" s="432"/>
      <c r="X40" s="432"/>
      <c r="Y40" s="432"/>
      <c r="Z40" s="432"/>
      <c r="AA40" s="432"/>
      <c r="AB40" s="432"/>
      <c r="AC40" s="432"/>
    </row>
    <row r="41" spans="1:29" ht="22.15" customHeight="1" x14ac:dyDescent="0.25">
      <c r="A41" s="432"/>
      <c r="B41" s="1"/>
      <c r="C41" s="987"/>
      <c r="D41" s="987"/>
      <c r="E41" s="987"/>
      <c r="F41" s="987"/>
      <c r="G41" s="987"/>
      <c r="H41" s="987"/>
      <c r="I41" s="987"/>
      <c r="J41" s="987"/>
      <c r="K41" s="1"/>
      <c r="L41" s="432"/>
      <c r="M41" s="432"/>
      <c r="N41" s="432"/>
      <c r="O41" s="432"/>
      <c r="P41" s="432"/>
      <c r="Q41" s="432"/>
      <c r="R41" s="432"/>
      <c r="S41" s="432"/>
      <c r="T41" s="432"/>
      <c r="U41" s="432"/>
      <c r="V41" s="432"/>
      <c r="W41" s="432"/>
      <c r="X41" s="432"/>
      <c r="Y41" s="432"/>
      <c r="Z41" s="432"/>
      <c r="AA41" s="432"/>
      <c r="AB41" s="432"/>
      <c r="AC41" s="432"/>
    </row>
    <row r="42" spans="1:29" ht="12" customHeight="1" x14ac:dyDescent="0.25">
      <c r="A42" s="432"/>
      <c r="B42" s="1"/>
      <c r="C42" s="987"/>
      <c r="D42" s="987"/>
      <c r="E42" s="987"/>
      <c r="F42" s="987"/>
      <c r="G42" s="987"/>
      <c r="H42" s="987"/>
      <c r="I42" s="987"/>
      <c r="J42" s="987"/>
      <c r="K42" s="1"/>
      <c r="L42" s="432"/>
      <c r="M42" s="432"/>
      <c r="N42" s="432"/>
      <c r="O42" s="432"/>
      <c r="P42" s="432"/>
      <c r="Q42" s="432"/>
      <c r="R42" s="432"/>
      <c r="S42" s="432"/>
      <c r="T42" s="432"/>
      <c r="U42" s="432"/>
      <c r="V42" s="432"/>
      <c r="W42" s="432"/>
      <c r="X42" s="432"/>
      <c r="Y42" s="432"/>
      <c r="Z42" s="432"/>
      <c r="AA42" s="432"/>
      <c r="AB42" s="432"/>
      <c r="AC42" s="432"/>
    </row>
    <row r="43" spans="1:29" ht="12.65" customHeight="1" x14ac:dyDescent="0.25">
      <c r="A43" s="432"/>
      <c r="B43" s="1"/>
      <c r="C43" s="987"/>
      <c r="D43" s="987"/>
      <c r="E43" s="987"/>
      <c r="F43" s="987"/>
      <c r="G43" s="987"/>
      <c r="H43" s="987"/>
      <c r="I43" s="987"/>
      <c r="J43" s="987"/>
      <c r="K43" s="1"/>
      <c r="L43" s="432"/>
      <c r="M43" s="432"/>
      <c r="N43" s="432"/>
      <c r="O43" s="432"/>
      <c r="P43" s="432"/>
      <c r="Q43" s="432"/>
      <c r="R43" s="432"/>
      <c r="S43" s="432"/>
      <c r="T43" s="432"/>
      <c r="U43" s="432"/>
      <c r="V43" s="432"/>
      <c r="W43" s="432"/>
      <c r="X43" s="432"/>
      <c r="Y43" s="432"/>
      <c r="Z43" s="432"/>
      <c r="AA43" s="432"/>
      <c r="AB43" s="432"/>
      <c r="AC43" s="432"/>
    </row>
    <row r="44" spans="1:29" ht="12.75" customHeight="1" x14ac:dyDescent="0.25">
      <c r="A44" s="432"/>
      <c r="B44" s="1"/>
      <c r="C44" s="985" t="str">
        <f>Basisdaten!C46</f>
        <v>Vorhabenbeschreibung 
4.1.10 a): Erstellung eines 
Fokuskonzeptes 2509_V3</v>
      </c>
      <c r="D44" s="986"/>
      <c r="E44" s="986"/>
      <c r="F44" s="986"/>
      <c r="G44" s="986"/>
      <c r="H44" s="986"/>
      <c r="I44" s="986"/>
      <c r="J44" s="986"/>
      <c r="K44" s="1"/>
      <c r="L44" s="432"/>
      <c r="M44" s="432"/>
      <c r="N44" s="432"/>
      <c r="O44" s="432"/>
      <c r="P44" s="432"/>
      <c r="Q44" s="432"/>
      <c r="R44" s="432"/>
      <c r="S44" s="432"/>
      <c r="T44" s="432"/>
      <c r="U44" s="432"/>
      <c r="V44" s="432"/>
      <c r="W44" s="432"/>
      <c r="X44" s="432"/>
      <c r="Y44" s="432"/>
      <c r="Z44" s="432"/>
      <c r="AA44" s="432"/>
      <c r="AB44" s="432"/>
      <c r="AC44" s="432"/>
    </row>
    <row r="45" spans="1:29" ht="6" customHeight="1" x14ac:dyDescent="0.25">
      <c r="A45" s="432"/>
      <c r="B45" s="1"/>
      <c r="C45" s="1"/>
      <c r="D45" s="1"/>
      <c r="E45" s="1"/>
      <c r="F45" s="1"/>
      <c r="G45" s="1"/>
      <c r="H45" s="1"/>
      <c r="I45" s="1"/>
      <c r="J45" s="1"/>
      <c r="K45" s="1"/>
      <c r="L45" s="432"/>
      <c r="M45" s="432"/>
      <c r="N45" s="432"/>
      <c r="O45" s="432"/>
      <c r="P45" s="432"/>
      <c r="Q45" s="432"/>
      <c r="R45" s="432"/>
      <c r="S45" s="432"/>
      <c r="T45" s="432"/>
      <c r="U45" s="432"/>
      <c r="V45" s="432"/>
      <c r="W45" s="432"/>
      <c r="X45" s="432"/>
      <c r="Y45" s="432"/>
      <c r="Z45" s="432"/>
      <c r="AA45" s="432"/>
      <c r="AB45" s="432"/>
      <c r="AC45" s="432"/>
    </row>
    <row r="46" spans="1:29" x14ac:dyDescent="0.25">
      <c r="A46" s="432"/>
      <c r="B46" s="432"/>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row>
    <row r="47" spans="1:29" x14ac:dyDescent="0.25">
      <c r="A47" s="432"/>
      <c r="B47" s="432"/>
      <c r="C47" s="432"/>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row>
    <row r="48" spans="1:29" x14ac:dyDescent="0.25">
      <c r="A48" s="432"/>
      <c r="B48" s="432"/>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row>
    <row r="49" spans="1:29" x14ac:dyDescent="0.25">
      <c r="A49" s="432"/>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row>
    <row r="50" spans="1:29" x14ac:dyDescent="0.25">
      <c r="A50" s="432"/>
      <c r="B50" s="432"/>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row>
    <row r="51" spans="1:29" x14ac:dyDescent="0.25">
      <c r="A51" s="432"/>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row>
    <row r="52" spans="1:29" x14ac:dyDescent="0.25">
      <c r="A52" s="432"/>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row>
    <row r="53" spans="1:29" x14ac:dyDescent="0.25">
      <c r="A53" s="432"/>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row>
    <row r="54" spans="1:29" x14ac:dyDescent="0.25">
      <c r="A54" s="432"/>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row>
    <row r="55" spans="1:29" x14ac:dyDescent="0.25">
      <c r="A55" s="432"/>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row>
    <row r="56" spans="1:29" x14ac:dyDescent="0.25">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row>
    <row r="57" spans="1:29" x14ac:dyDescent="0.25">
      <c r="A57" s="432"/>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row>
    <row r="58" spans="1:29" x14ac:dyDescent="0.25">
      <c r="A58" s="432"/>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row>
    <row r="59" spans="1:29" x14ac:dyDescent="0.25">
      <c r="A59" s="432"/>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row>
    <row r="60" spans="1:29" x14ac:dyDescent="0.25">
      <c r="A60" s="432"/>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row>
    <row r="61" spans="1:29" x14ac:dyDescent="0.25">
      <c r="A61" s="432"/>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row>
    <row r="62" spans="1:29" x14ac:dyDescent="0.25">
      <c r="A62" s="432"/>
      <c r="B62" s="432"/>
      <c r="C62" s="432"/>
      <c r="D62" s="432"/>
      <c r="E62" s="432"/>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row>
    <row r="63" spans="1:29" x14ac:dyDescent="0.25">
      <c r="A63" s="432"/>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row>
    <row r="64" spans="1:29" x14ac:dyDescent="0.25">
      <c r="A64" s="432"/>
      <c r="B64" s="432"/>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row>
    <row r="65" spans="1:29" x14ac:dyDescent="0.25">
      <c r="A65" s="432"/>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row>
    <row r="66" spans="1:29" x14ac:dyDescent="0.25">
      <c r="A66" s="432"/>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row>
    <row r="67" spans="1:29" x14ac:dyDescent="0.25">
      <c r="A67" s="432"/>
      <c r="B67" s="432"/>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row>
    <row r="68" spans="1:29" x14ac:dyDescent="0.25">
      <c r="A68" s="432"/>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row>
    <row r="69" spans="1:29" x14ac:dyDescent="0.25">
      <c r="A69" s="432"/>
      <c r="B69" s="432"/>
      <c r="C69" s="432"/>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row>
    <row r="70" spans="1:29" x14ac:dyDescent="0.25">
      <c r="A70" s="432"/>
      <c r="B70" s="432"/>
      <c r="C70" s="432"/>
      <c r="D70" s="432"/>
      <c r="E70" s="432"/>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row>
    <row r="71" spans="1:29" x14ac:dyDescent="0.25">
      <c r="A71" s="432"/>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row>
    <row r="72" spans="1:29" x14ac:dyDescent="0.25">
      <c r="A72" s="432"/>
      <c r="B72" s="432"/>
      <c r="C72" s="432"/>
      <c r="D72" s="432"/>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row>
    <row r="73" spans="1:29" x14ac:dyDescent="0.25">
      <c r="A73" s="432"/>
      <c r="B73" s="432"/>
      <c r="C73" s="432"/>
      <c r="D73" s="432"/>
      <c r="E73" s="432"/>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row>
    <row r="74" spans="1:29" x14ac:dyDescent="0.25">
      <c r="A74" s="432"/>
      <c r="B74" s="432"/>
      <c r="C74" s="432"/>
      <c r="D74" s="432"/>
      <c r="E74" s="432"/>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row>
    <row r="75" spans="1:29" x14ac:dyDescent="0.25">
      <c r="A75" s="432"/>
      <c r="B75" s="432"/>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row>
    <row r="76" spans="1:29" x14ac:dyDescent="0.25">
      <c r="A76" s="432"/>
      <c r="B76" s="432"/>
      <c r="C76" s="432"/>
      <c r="D76" s="432"/>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row>
    <row r="77" spans="1:29" x14ac:dyDescent="0.25">
      <c r="A77" s="432"/>
      <c r="B77" s="432"/>
      <c r="C77" s="432"/>
      <c r="D77" s="432"/>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row>
    <row r="78" spans="1:29" x14ac:dyDescent="0.25">
      <c r="A78" s="432"/>
      <c r="B78" s="432"/>
      <c r="C78" s="432"/>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row>
    <row r="79" spans="1:29" x14ac:dyDescent="0.25">
      <c r="A79" s="432"/>
      <c r="B79" s="432"/>
      <c r="C79" s="432"/>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row>
    <row r="80" spans="1:29" x14ac:dyDescent="0.25">
      <c r="A80" s="432"/>
      <c r="B80" s="432"/>
      <c r="C80" s="432"/>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row>
    <row r="81" spans="1:29" x14ac:dyDescent="0.25">
      <c r="A81" s="432"/>
      <c r="B81" s="432"/>
      <c r="C81" s="432"/>
      <c r="D81" s="432"/>
      <c r="E81" s="432"/>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row>
    <row r="82" spans="1:29" x14ac:dyDescent="0.25">
      <c r="A82" s="432"/>
      <c r="B82" s="432"/>
      <c r="C82" s="432"/>
      <c r="D82" s="432"/>
      <c r="E82" s="432"/>
      <c r="F82" s="432"/>
      <c r="G82" s="432"/>
      <c r="H82" s="432"/>
      <c r="I82" s="432"/>
      <c r="J82" s="432"/>
      <c r="K82" s="432"/>
      <c r="L82" s="432"/>
      <c r="M82" s="432"/>
      <c r="N82" s="432"/>
      <c r="O82" s="432"/>
      <c r="P82" s="432"/>
      <c r="Q82" s="432"/>
      <c r="R82" s="432"/>
      <c r="S82" s="432"/>
      <c r="T82" s="432"/>
      <c r="U82" s="432"/>
      <c r="V82" s="432"/>
      <c r="W82" s="432"/>
      <c r="X82" s="432"/>
      <c r="Y82" s="432"/>
      <c r="Z82" s="432"/>
      <c r="AA82" s="432"/>
      <c r="AB82" s="432"/>
      <c r="AC82" s="432"/>
    </row>
    <row r="83" spans="1:29" x14ac:dyDescent="0.25">
      <c r="A83" s="432"/>
      <c r="B83" s="432"/>
      <c r="C83" s="432"/>
      <c r="D83" s="432"/>
      <c r="E83" s="432"/>
      <c r="F83" s="432"/>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row>
    <row r="84" spans="1:29" x14ac:dyDescent="0.25">
      <c r="A84" s="432"/>
      <c r="B84" s="432"/>
      <c r="C84" s="432"/>
      <c r="D84" s="432"/>
      <c r="E84" s="432"/>
      <c r="F84" s="43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row>
    <row r="85" spans="1:29" x14ac:dyDescent="0.25">
      <c r="A85" s="432"/>
      <c r="B85" s="432"/>
      <c r="C85" s="432"/>
      <c r="D85" s="432"/>
      <c r="E85" s="432"/>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row>
    <row r="86" spans="1:29" x14ac:dyDescent="0.25">
      <c r="A86" s="432"/>
      <c r="B86" s="432"/>
      <c r="C86" s="432"/>
      <c r="D86" s="432"/>
      <c r="E86" s="432"/>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row>
    <row r="87" spans="1:29" x14ac:dyDescent="0.25">
      <c r="A87" s="432"/>
      <c r="B87" s="432"/>
      <c r="C87" s="432"/>
      <c r="D87" s="432"/>
      <c r="E87" s="432"/>
      <c r="F87" s="43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row>
    <row r="88" spans="1:29" x14ac:dyDescent="0.25">
      <c r="A88" s="432"/>
      <c r="B88" s="432"/>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row>
    <row r="89" spans="1:29" x14ac:dyDescent="0.25">
      <c r="A89" s="432"/>
      <c r="B89" s="432"/>
      <c r="C89" s="432"/>
      <c r="D89" s="432"/>
      <c r="E89" s="432"/>
      <c r="F89" s="432"/>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row>
    <row r="90" spans="1:29" x14ac:dyDescent="0.25">
      <c r="A90" s="432"/>
      <c r="B90" s="432"/>
      <c r="C90" s="432"/>
      <c r="D90" s="432"/>
      <c r="E90" s="432"/>
      <c r="F90" s="43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row>
    <row r="91" spans="1:29" x14ac:dyDescent="0.25">
      <c r="A91" s="432"/>
      <c r="B91" s="432"/>
      <c r="C91" s="432"/>
      <c r="D91" s="432"/>
      <c r="E91" s="432"/>
      <c r="F91" s="432"/>
      <c r="G91" s="432"/>
      <c r="H91" s="432"/>
      <c r="I91" s="432"/>
      <c r="J91" s="432"/>
      <c r="K91" s="432"/>
      <c r="L91" s="432"/>
      <c r="M91" s="432"/>
      <c r="N91" s="432"/>
      <c r="O91" s="432"/>
      <c r="P91" s="432"/>
      <c r="Q91" s="432"/>
      <c r="R91" s="432"/>
      <c r="S91" s="432"/>
      <c r="T91" s="432"/>
      <c r="U91" s="432"/>
      <c r="V91" s="432"/>
      <c r="W91" s="432"/>
      <c r="X91" s="432"/>
      <c r="Y91" s="432"/>
      <c r="Z91" s="432"/>
      <c r="AA91" s="432"/>
      <c r="AB91" s="432"/>
      <c r="AC91" s="432"/>
    </row>
    <row r="92" spans="1:29" x14ac:dyDescent="0.25">
      <c r="A92" s="432"/>
      <c r="B92" s="432"/>
      <c r="C92" s="432"/>
      <c r="D92" s="432"/>
      <c r="E92" s="432"/>
      <c r="F92" s="432"/>
      <c r="G92" s="432"/>
      <c r="H92" s="432"/>
      <c r="I92" s="432"/>
      <c r="J92" s="432"/>
      <c r="K92" s="432"/>
      <c r="L92" s="432"/>
      <c r="M92" s="432"/>
      <c r="N92" s="432"/>
      <c r="O92" s="432"/>
      <c r="P92" s="432"/>
      <c r="Q92" s="432"/>
      <c r="R92" s="432"/>
      <c r="S92" s="432"/>
      <c r="T92" s="432"/>
      <c r="U92" s="432"/>
      <c r="V92" s="432"/>
      <c r="W92" s="432"/>
      <c r="X92" s="432"/>
      <c r="Y92" s="432"/>
      <c r="Z92" s="432"/>
      <c r="AA92" s="432"/>
      <c r="AB92" s="432"/>
      <c r="AC92" s="432"/>
    </row>
    <row r="93" spans="1:29" x14ac:dyDescent="0.25">
      <c r="A93" s="432"/>
      <c r="B93" s="432"/>
      <c r="C93" s="432"/>
      <c r="D93" s="432"/>
      <c r="E93" s="432"/>
      <c r="F93" s="43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row>
    <row r="94" spans="1:29" x14ac:dyDescent="0.25">
      <c r="A94" s="432"/>
      <c r="B94" s="432"/>
      <c r="C94" s="432"/>
      <c r="D94" s="432"/>
      <c r="E94" s="432"/>
      <c r="F94" s="432"/>
      <c r="G94" s="432"/>
      <c r="H94" s="432"/>
      <c r="I94" s="432"/>
      <c r="J94" s="432"/>
      <c r="K94" s="432"/>
      <c r="L94" s="432"/>
      <c r="M94" s="432"/>
      <c r="N94" s="432"/>
      <c r="O94" s="432"/>
      <c r="P94" s="432"/>
      <c r="Q94" s="432"/>
      <c r="R94" s="432"/>
      <c r="S94" s="432"/>
      <c r="T94" s="432"/>
      <c r="U94" s="432"/>
      <c r="V94" s="432"/>
      <c r="W94" s="432"/>
      <c r="X94" s="432"/>
      <c r="Y94" s="432"/>
      <c r="Z94" s="432"/>
      <c r="AA94" s="432"/>
      <c r="AB94" s="432"/>
      <c r="AC94" s="432"/>
    </row>
    <row r="95" spans="1:29" x14ac:dyDescent="0.25">
      <c r="A95" s="432"/>
      <c r="B95" s="432"/>
      <c r="C95" s="432"/>
      <c r="D95" s="432"/>
      <c r="E95" s="432"/>
      <c r="F95" s="432"/>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row>
    <row r="96" spans="1:29" x14ac:dyDescent="0.25">
      <c r="A96" s="432"/>
      <c r="B96" s="432"/>
      <c r="C96" s="432"/>
      <c r="D96" s="432"/>
      <c r="E96" s="432"/>
      <c r="F96" s="432"/>
      <c r="G96" s="432"/>
      <c r="H96" s="432"/>
      <c r="I96" s="432"/>
      <c r="J96" s="432"/>
      <c r="K96" s="432"/>
      <c r="L96" s="432"/>
      <c r="M96" s="432"/>
      <c r="N96" s="432"/>
      <c r="O96" s="432"/>
      <c r="P96" s="432"/>
      <c r="Q96" s="432"/>
      <c r="R96" s="432"/>
      <c r="S96" s="432"/>
      <c r="T96" s="432"/>
      <c r="U96" s="432"/>
      <c r="V96" s="432"/>
      <c r="W96" s="432"/>
      <c r="X96" s="432"/>
      <c r="Y96" s="432"/>
      <c r="Z96" s="432"/>
      <c r="AA96" s="432"/>
      <c r="AB96" s="432"/>
      <c r="AC96" s="432"/>
    </row>
    <row r="97" spans="1:29" x14ac:dyDescent="0.25">
      <c r="A97" s="432"/>
      <c r="B97" s="432"/>
      <c r="C97" s="432"/>
      <c r="D97" s="432"/>
      <c r="E97" s="432"/>
      <c r="F97" s="432"/>
      <c r="G97" s="432"/>
      <c r="H97" s="432"/>
      <c r="I97" s="432"/>
      <c r="J97" s="432"/>
      <c r="K97" s="432"/>
      <c r="L97" s="432"/>
      <c r="M97" s="432"/>
      <c r="N97" s="432"/>
      <c r="O97" s="432"/>
      <c r="P97" s="432"/>
      <c r="Q97" s="432"/>
      <c r="R97" s="432"/>
      <c r="S97" s="432"/>
      <c r="T97" s="432"/>
      <c r="U97" s="432"/>
      <c r="V97" s="432"/>
      <c r="W97" s="432"/>
      <c r="X97" s="432"/>
      <c r="Y97" s="432"/>
      <c r="Z97" s="432"/>
      <c r="AA97" s="432"/>
      <c r="AB97" s="432"/>
      <c r="AC97" s="432"/>
    </row>
    <row r="98" spans="1:29" x14ac:dyDescent="0.25">
      <c r="A98" s="432"/>
      <c r="B98" s="432"/>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432"/>
      <c r="AA98" s="432"/>
      <c r="AB98" s="432"/>
      <c r="AC98" s="432"/>
    </row>
    <row r="99" spans="1:29" x14ac:dyDescent="0.25">
      <c r="A99" s="432"/>
      <c r="B99" s="432"/>
      <c r="C99" s="432"/>
      <c r="D99" s="432"/>
      <c r="E99" s="432"/>
      <c r="F99" s="43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row>
    <row r="100" spans="1:29" x14ac:dyDescent="0.25">
      <c r="A100" s="432"/>
      <c r="B100" s="432"/>
      <c r="C100" s="432"/>
      <c r="D100" s="432"/>
      <c r="E100" s="432"/>
      <c r="F100" s="432"/>
      <c r="G100" s="432"/>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t="s">
        <v>219</v>
      </c>
    </row>
  </sheetData>
  <sheetProtection password="C730" sheet="1" selectLockedCells="1"/>
  <customSheetViews>
    <customSheetView guid="{68ABA936-E0C3-4F62-AA1D-4FD1F5462098}" scale="115" showPageBreaks="1" showGridLines="0" showRowCol="0" printArea="1" view="pageBreakPreview">
      <selection activeCell="C6" sqref="C6:J8"/>
      <pageMargins left="0.39370078740157483" right="0.39370078740157483" top="0.39370078740157483" bottom="0.39370078740157483" header="0" footer="0"/>
      <printOptions horizontalCentered="1"/>
      <pageSetup paperSize="9" orientation="portrait" r:id="rId1"/>
    </customSheetView>
  </customSheetViews>
  <mergeCells count="15">
    <mergeCell ref="M5:M9"/>
    <mergeCell ref="C3:E4"/>
    <mergeCell ref="C25:D25"/>
    <mergeCell ref="E25:J25"/>
    <mergeCell ref="C44:J44"/>
    <mergeCell ref="C5:D5"/>
    <mergeCell ref="E5:J5"/>
    <mergeCell ref="C15:D15"/>
    <mergeCell ref="E15:J15"/>
    <mergeCell ref="C6:J13"/>
    <mergeCell ref="C16:J23"/>
    <mergeCell ref="C26:J33"/>
    <mergeCell ref="C36:J43"/>
    <mergeCell ref="C35:D35"/>
    <mergeCell ref="E35:J35"/>
  </mergeCells>
  <printOptions horizontalCentered="1"/>
  <pageMargins left="0.39370078740157483" right="0.39370078740157483" top="0.39370078740157483" bottom="0.39370078740157483" header="0" footer="0"/>
  <pageSetup paperSize="9" scale="99" orientation="portrait" r:id="rId2"/>
  <extLst>
    <ext xmlns:x14="http://schemas.microsoft.com/office/spreadsheetml/2009/9/main" uri="{78C0D931-6437-407d-A8EE-F0AAD7539E65}">
      <x14:conditionalFormattings>
        <x14:conditionalFormatting xmlns:xm="http://schemas.microsoft.com/office/excel/2006/main">
          <x14:cfRule type="expression" priority="1" id="{496C3AB9-9994-4AFC-9383-25A9CFB402DE}">
            <xm:f>menu!$F$46="ÜGR"</xm:f>
            <x14:dxf>
              <font>
                <color theme="0"/>
              </font>
              <fill>
                <patternFill>
                  <bgColor theme="0"/>
                </patternFill>
              </fill>
              <border>
                <left/>
                <right/>
                <top/>
                <bottom/>
                <vertical/>
                <horizontal/>
              </border>
            </x14:dxf>
          </x14:cfRule>
          <x14:cfRule type="expression" priority="2" id="{E4163F84-44AF-4E7B-B681-470883D64EEF}">
            <xm:f>menu!$U$10=FALSE</xm:f>
            <x14:dxf>
              <font>
                <color theme="0"/>
              </font>
              <fill>
                <patternFill>
                  <fgColor theme="0"/>
                  <bgColor theme="0"/>
                </patternFill>
              </fill>
              <border>
                <left/>
                <right/>
                <top/>
                <bottom/>
                <vertical/>
                <horizontal/>
              </border>
            </x14:dxf>
          </x14:cfRule>
          <xm:sqref>F3</xm:sqref>
        </x14:conditionalFormatting>
        <x14:conditionalFormatting xmlns:xm="http://schemas.microsoft.com/office/excel/2006/main">
          <x14:cfRule type="expression" priority="5" id="{F1F30C95-B45B-4AEE-8641-96946DEFA243}">
            <xm:f>menu!$U$8=FALSE</xm:f>
            <x14:dxf>
              <font>
                <color theme="0"/>
              </font>
              <fill>
                <patternFill>
                  <fgColor theme="0"/>
                  <bgColor theme="0"/>
                </patternFill>
              </fill>
              <border>
                <left/>
                <right/>
                <top/>
                <bottom/>
                <vertical/>
                <horizontal/>
              </border>
            </x14:dxf>
          </x14:cfRule>
          <xm:sqref>K3</xm:sqref>
        </x14:conditionalFormatting>
        <x14:conditionalFormatting xmlns:xm="http://schemas.microsoft.com/office/excel/2006/main">
          <x14:cfRule type="expression" priority="3" id="{7C6D9516-BFE0-4E48-A4A9-BCF8FA57EB41}">
            <xm:f>menu!$F$46="ÜGR"</xm:f>
            <x14:dxf>
              <font>
                <color theme="0"/>
              </font>
              <fill>
                <patternFill>
                  <bgColor theme="0"/>
                </patternFill>
              </fill>
              <border>
                <left/>
                <right/>
                <top/>
                <bottom/>
                <vertical/>
                <horizontal/>
              </border>
            </x14:dxf>
          </x14:cfRule>
          <x14:cfRule type="expression" priority="4" id="{DC66BDB7-790E-4A44-957A-E13F0A2E3028}">
            <xm:f>menu!$U$10=FALSE</xm:f>
            <x14:dxf>
              <font>
                <color theme="0"/>
              </font>
              <fill>
                <patternFill>
                  <fgColor theme="0"/>
                  <bgColor theme="0"/>
                </patternFill>
              </fill>
              <border>
                <left/>
                <right/>
                <top/>
                <bottom/>
                <vertical/>
                <horizontal/>
              </border>
            </x14:dxf>
          </x14:cfRule>
          <xm:sqref>K4:O4</xm:sqref>
        </x14:conditionalFormatting>
        <x14:conditionalFormatting xmlns:xm="http://schemas.microsoft.com/office/excel/2006/main">
          <x14:cfRule type="iconSet" priority="11" id="{1A1C8CCF-F2DB-4C5A-92E4-31E402B35FA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M12</xm:sqref>
        </x14:conditionalFormatting>
        <x14:conditionalFormatting xmlns:xm="http://schemas.microsoft.com/office/excel/2006/main">
          <x14:cfRule type="iconSet" priority="10" id="{E3C74D87-7D88-4294-ABF3-4E0241C2B81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M13:M14</xm:sqref>
        </x14:conditionalFormatting>
        <x14:conditionalFormatting xmlns:xm="http://schemas.microsoft.com/office/excel/2006/main">
          <x14:cfRule type="iconSet" priority="9" id="{CC5FB086-28BF-4B64-A130-B4AC079C6AE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M15</xm:sqref>
        </x14:conditionalFormatting>
        <x14:conditionalFormatting xmlns:xm="http://schemas.microsoft.com/office/excel/2006/main">
          <x14:cfRule type="iconSet" priority="8" id="{A1824D3B-16DF-4764-A22B-09C3A06D5D6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M16</xm:sqref>
        </x14:conditionalFormatting>
        <x14:conditionalFormatting xmlns:xm="http://schemas.microsoft.com/office/excel/2006/main">
          <x14:cfRule type="iconSet" priority="6" id="{13603FAE-FBCD-4703-BA72-AACF5AB9A22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7" id="{79519A08-17D2-4F17-8BA1-728B9E392600}">
            <xm:f>menu!$U$6=FALSE</xm:f>
            <x14:dxf>
              <font>
                <color theme="0"/>
              </font>
              <fill>
                <patternFill>
                  <fgColor theme="0"/>
                  <bgColor theme="0"/>
                </patternFill>
              </fill>
              <border>
                <left/>
                <right/>
                <top/>
                <bottom/>
                <vertical/>
                <horizontal/>
              </border>
            </x14:dxf>
          </x14:cfRule>
          <xm:sqref>M22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menu!$AQ$2:$AQ$6</xm:f>
          </x14:formula1>
          <xm:sqref>E5:J5 E15:J15 E25:J25 E35:J35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4">
    <tabColor theme="1"/>
  </sheetPr>
  <dimension ref="A1:M56"/>
  <sheetViews>
    <sheetView topLeftCell="A36" zoomScale="70" zoomScaleNormal="70" workbookViewId="0">
      <selection activeCell="A44" sqref="A44"/>
    </sheetView>
  </sheetViews>
  <sheetFormatPr baseColWidth="10" defaultColWidth="11.453125" defaultRowHeight="14.5" x14ac:dyDescent="0.35"/>
  <cols>
    <col min="1" max="1" width="34.453125" style="247" customWidth="1"/>
    <col min="2" max="2" width="21.1796875" style="247" customWidth="1"/>
    <col min="3" max="6" width="75.1796875" style="247" customWidth="1"/>
    <col min="7" max="7" width="51" style="247" customWidth="1"/>
    <col min="8" max="8" width="51.453125" style="247" customWidth="1"/>
    <col min="9" max="9" width="52.54296875" style="247" customWidth="1"/>
    <col min="10" max="16384" width="11.453125" style="247"/>
  </cols>
  <sheetData>
    <row r="1" spans="1:13" x14ac:dyDescent="0.35">
      <c r="A1" s="247" t="s">
        <v>268</v>
      </c>
      <c r="B1" s="247" t="s">
        <v>269</v>
      </c>
      <c r="C1" s="575" t="s">
        <v>265</v>
      </c>
      <c r="D1" s="575"/>
      <c r="E1" s="575"/>
      <c r="F1" s="575"/>
      <c r="G1" s="247" t="s">
        <v>266</v>
      </c>
      <c r="H1" s="247" t="s">
        <v>267</v>
      </c>
      <c r="I1" s="247" t="s">
        <v>280</v>
      </c>
    </row>
    <row r="2" spans="1:13" x14ac:dyDescent="0.35">
      <c r="C2" s="575" t="s">
        <v>231</v>
      </c>
      <c r="D2" s="575"/>
      <c r="E2" s="575" t="s">
        <v>226</v>
      </c>
      <c r="F2" s="575"/>
    </row>
    <row r="3" spans="1:13" x14ac:dyDescent="0.35">
      <c r="C3" s="249" t="s">
        <v>277</v>
      </c>
      <c r="D3" s="249" t="s">
        <v>278</v>
      </c>
      <c r="E3" s="249" t="s">
        <v>277</v>
      </c>
      <c r="F3" s="249" t="s">
        <v>278</v>
      </c>
    </row>
    <row r="4" spans="1:13" x14ac:dyDescent="0.35">
      <c r="A4" s="247" t="s">
        <v>253</v>
      </c>
      <c r="C4" s="574" t="s">
        <v>271</v>
      </c>
      <c r="D4" s="574"/>
      <c r="E4" s="574"/>
      <c r="F4" s="574"/>
      <c r="G4" s="247" t="s">
        <v>272</v>
      </c>
      <c r="H4" s="247" t="s">
        <v>272</v>
      </c>
    </row>
    <row r="5" spans="1:13" x14ac:dyDescent="0.35">
      <c r="A5" s="247" t="s">
        <v>23</v>
      </c>
      <c r="C5" s="574" t="s">
        <v>276</v>
      </c>
      <c r="D5" s="574"/>
      <c r="E5" s="574"/>
      <c r="F5" s="574"/>
      <c r="G5" s="247" t="s">
        <v>273</v>
      </c>
      <c r="H5" s="247" t="s">
        <v>273</v>
      </c>
    </row>
    <row r="6" spans="1:13" x14ac:dyDescent="0.35">
      <c r="A6" s="247" t="s">
        <v>149</v>
      </c>
      <c r="C6" s="574" t="s">
        <v>276</v>
      </c>
      <c r="D6" s="574"/>
      <c r="E6" s="574"/>
      <c r="F6" s="574"/>
      <c r="G6" s="247" t="s">
        <v>273</v>
      </c>
      <c r="H6" s="247" t="s">
        <v>273</v>
      </c>
    </row>
    <row r="7" spans="1:13" ht="406" x14ac:dyDescent="0.35">
      <c r="A7" s="247" t="s">
        <v>91</v>
      </c>
      <c r="C7" s="574" t="s">
        <v>276</v>
      </c>
      <c r="D7" s="574"/>
      <c r="E7" s="574"/>
      <c r="F7" s="574"/>
      <c r="G7" s="247" t="s">
        <v>273</v>
      </c>
      <c r="H7" s="247" t="s">
        <v>273</v>
      </c>
      <c r="J7" s="247" t="s">
        <v>569</v>
      </c>
      <c r="K7" s="247" t="s">
        <v>568</v>
      </c>
      <c r="M7" s="247" t="s">
        <v>570</v>
      </c>
    </row>
    <row r="8" spans="1:13" ht="130.5" x14ac:dyDescent="0.35">
      <c r="A8" s="247" t="s">
        <v>102</v>
      </c>
      <c r="C8" s="248" t="s">
        <v>528</v>
      </c>
      <c r="D8" s="248" t="s">
        <v>527</v>
      </c>
      <c r="E8" s="248" t="s">
        <v>532</v>
      </c>
      <c r="F8" s="248" t="s">
        <v>533</v>
      </c>
      <c r="G8" s="248" t="s">
        <v>535</v>
      </c>
      <c r="H8" s="248" t="s">
        <v>536</v>
      </c>
    </row>
    <row r="9" spans="1:13" ht="250.5" customHeight="1" x14ac:dyDescent="0.35">
      <c r="A9" s="247" t="s">
        <v>106</v>
      </c>
      <c r="C9" s="248" t="s">
        <v>529</v>
      </c>
      <c r="D9" s="248" t="s">
        <v>530</v>
      </c>
      <c r="E9" s="248" t="s">
        <v>531</v>
      </c>
      <c r="F9" s="248" t="s">
        <v>534</v>
      </c>
      <c r="G9" s="248" t="s">
        <v>674</v>
      </c>
      <c r="H9" s="248" t="s">
        <v>655</v>
      </c>
    </row>
    <row r="10" spans="1:13" ht="141.75" customHeight="1" x14ac:dyDescent="0.35">
      <c r="A10" s="247" t="s">
        <v>150</v>
      </c>
      <c r="C10" s="248" t="s">
        <v>274</v>
      </c>
      <c r="D10" s="248"/>
      <c r="E10" s="248" t="s">
        <v>274</v>
      </c>
      <c r="F10" s="248"/>
      <c r="G10" s="248" t="s">
        <v>275</v>
      </c>
      <c r="H10" s="248" t="s">
        <v>274</v>
      </c>
      <c r="I10" s="247" t="s">
        <v>550</v>
      </c>
    </row>
    <row r="11" spans="1:13" ht="69.75" customHeight="1" x14ac:dyDescent="0.35">
      <c r="A11" s="247" t="s">
        <v>270</v>
      </c>
      <c r="C11" s="248" t="s">
        <v>449</v>
      </c>
      <c r="D11" s="248" t="s">
        <v>449</v>
      </c>
      <c r="E11" s="248" t="s">
        <v>449</v>
      </c>
      <c r="F11" s="248" t="s">
        <v>449</v>
      </c>
      <c r="G11" s="248" t="s">
        <v>449</v>
      </c>
      <c r="H11" s="248" t="s">
        <v>449</v>
      </c>
    </row>
    <row r="12" spans="1:13" ht="123.75" customHeight="1" x14ac:dyDescent="0.35">
      <c r="A12" s="247" t="s">
        <v>178</v>
      </c>
      <c r="C12" s="247" t="s">
        <v>597</v>
      </c>
      <c r="D12" s="247" t="s">
        <v>664</v>
      </c>
      <c r="G12" s="248" t="s">
        <v>281</v>
      </c>
      <c r="H12" s="248" t="s">
        <v>586</v>
      </c>
      <c r="I12" s="248" t="s">
        <v>316</v>
      </c>
    </row>
    <row r="13" spans="1:13" x14ac:dyDescent="0.35">
      <c r="C13" s="247" t="s">
        <v>596</v>
      </c>
      <c r="D13" s="247" t="s">
        <v>590</v>
      </c>
      <c r="E13" s="247" t="s">
        <v>652</v>
      </c>
    </row>
    <row r="15" spans="1:13" x14ac:dyDescent="0.35">
      <c r="E15" s="247" t="s">
        <v>408</v>
      </c>
    </row>
    <row r="16" spans="1:13" ht="132.75" customHeight="1" x14ac:dyDescent="0.35">
      <c r="E16" s="247" t="s">
        <v>412</v>
      </c>
      <c r="F16" s="247" t="s">
        <v>555</v>
      </c>
    </row>
    <row r="17" spans="1:6" ht="145" x14ac:dyDescent="0.35">
      <c r="C17" s="248" t="s">
        <v>656</v>
      </c>
      <c r="E17" s="247" t="s">
        <v>413</v>
      </c>
      <c r="F17" s="247" t="s">
        <v>556</v>
      </c>
    </row>
    <row r="20" spans="1:6" ht="29" x14ac:dyDescent="0.35">
      <c r="A20" s="247" t="s">
        <v>325</v>
      </c>
      <c r="B20" s="247" t="s">
        <v>331</v>
      </c>
      <c r="C20" s="247" t="s">
        <v>348</v>
      </c>
      <c r="D20" s="247" t="str">
        <f>"Achtung: Laut Kommunalrichtlinie sind im Erstvorhaben maximal " &amp; Dashboard!D10 &amp; " Tage für den Besuch von Weiterqualifikationen vorgesehen. Bitte korrigieren Sie Ihre Angaben."</f>
        <v>Achtung: Laut Kommunalrichtlinie sind im Erstvorhaben maximal 9 Tage für den Besuch von Weiterqualifikationen vorgesehen. Bitte korrigieren Sie Ihre Angaben.</v>
      </c>
    </row>
    <row r="23" spans="1:6" x14ac:dyDescent="0.35">
      <c r="A23" t="s">
        <v>543</v>
      </c>
    </row>
    <row r="24" spans="1:6" x14ac:dyDescent="0.35">
      <c r="A24" t="s">
        <v>392</v>
      </c>
    </row>
    <row r="25" spans="1:6" x14ac:dyDescent="0.35">
      <c r="A25" t="s">
        <v>523</v>
      </c>
    </row>
    <row r="26" spans="1:6" ht="130.5" x14ac:dyDescent="0.35">
      <c r="A26" s="247" t="s">
        <v>575</v>
      </c>
    </row>
    <row r="27" spans="1:6" ht="101.5" x14ac:dyDescent="0.35">
      <c r="A27" s="247" t="s">
        <v>441</v>
      </c>
      <c r="B27" s="247" t="s">
        <v>602</v>
      </c>
    </row>
    <row r="28" spans="1:6" ht="159.5" x14ac:dyDescent="0.35">
      <c r="A28" s="247" t="s">
        <v>444</v>
      </c>
      <c r="B28" s="247" t="s">
        <v>658</v>
      </c>
    </row>
    <row r="29" spans="1:6" ht="188.5" x14ac:dyDescent="0.35">
      <c r="A29" s="247" t="s">
        <v>445</v>
      </c>
      <c r="B29" s="247" t="s">
        <v>446</v>
      </c>
    </row>
    <row r="30" spans="1:6" ht="43.5" x14ac:dyDescent="0.35">
      <c r="C30" s="247" t="s">
        <v>580</v>
      </c>
    </row>
    <row r="31" spans="1:6" ht="29" x14ac:dyDescent="0.35">
      <c r="C31" s="247" t="s">
        <v>584</v>
      </c>
    </row>
    <row r="33" spans="1:4" ht="130.5" x14ac:dyDescent="0.35">
      <c r="A33" s="247" t="s">
        <v>468</v>
      </c>
      <c r="B33" s="247" t="s">
        <v>471</v>
      </c>
      <c r="C33" s="247" t="s">
        <v>470</v>
      </c>
    </row>
    <row r="34" spans="1:4" ht="232" x14ac:dyDescent="0.35">
      <c r="A34" s="247" t="s">
        <v>469</v>
      </c>
      <c r="B34" s="247" t="s">
        <v>540</v>
      </c>
      <c r="C34" s="247" t="s">
        <v>419</v>
      </c>
      <c r="D34" s="247" t="s">
        <v>498</v>
      </c>
    </row>
    <row r="35" spans="1:4" ht="232" x14ac:dyDescent="0.35">
      <c r="B35" s="247" t="s">
        <v>539</v>
      </c>
    </row>
    <row r="36" spans="1:4" ht="87" x14ac:dyDescent="0.35">
      <c r="B36" s="247" t="s">
        <v>472</v>
      </c>
    </row>
    <row r="37" spans="1:4" ht="43.5" x14ac:dyDescent="0.35">
      <c r="A37" s="247" t="str">
        <f>"Bitte planen Sie die Anzahl der Arbeitstage im Umfang der beantragten Personalstellen ("&amp;menu!F114&amp;")"</f>
        <v>Bitte planen Sie die Anzahl der Arbeitstage im Umfang der beantragten Personalstellen (0)</v>
      </c>
    </row>
    <row r="39" spans="1:4" ht="87" x14ac:dyDescent="0.35">
      <c r="A39" s="247" t="s">
        <v>554</v>
      </c>
    </row>
    <row r="40" spans="1:4" ht="43.5" x14ac:dyDescent="0.35">
      <c r="A40" s="247" t="s">
        <v>414</v>
      </c>
    </row>
    <row r="42" spans="1:4" x14ac:dyDescent="0.35">
      <c r="A42" s="247" t="s">
        <v>564</v>
      </c>
    </row>
    <row r="43" spans="1:4" ht="101.5" x14ac:dyDescent="0.35">
      <c r="A43" s="247" t="s">
        <v>576</v>
      </c>
      <c r="B43" s="247" t="s">
        <v>565</v>
      </c>
      <c r="C43" s="247" t="str">
        <f>"Achtung: Für den beantragten Vorhabentyp sind maximal " &amp;menu!K138&amp;" Tage für Fach- und Informationsveranstaltungen zuwendungsfähig."</f>
        <v>Achtung: Für den beantragten Vorhabentyp sind maximal 5 Tage für Fach- und Informationsveranstaltungen zuwendungsfähig.</v>
      </c>
      <c r="D43" s="247" t="e">
        <f>"Achtung: Für den beantragten Vorhabentyp sind maximal " &amp;menu!K140&amp;" Tage für Weiterqualifizierungen zuwendungsfähig."</f>
        <v>#REF!</v>
      </c>
    </row>
    <row r="44" spans="1:4" ht="203" x14ac:dyDescent="0.35">
      <c r="A44" s="247" t="s">
        <v>577</v>
      </c>
    </row>
    <row r="45" spans="1:4" ht="72.5" x14ac:dyDescent="0.35">
      <c r="A45" s="247" t="s">
        <v>578</v>
      </c>
    </row>
    <row r="47" spans="1:4" ht="43.5" x14ac:dyDescent="0.35">
      <c r="A47" s="247" t="s">
        <v>579</v>
      </c>
    </row>
    <row r="49" spans="1:4" x14ac:dyDescent="0.35">
      <c r="A49" s="247" t="s">
        <v>623</v>
      </c>
    </row>
    <row r="50" spans="1:4" x14ac:dyDescent="0.35">
      <c r="A50" s="247" t="s">
        <v>606</v>
      </c>
      <c r="B50" s="247" t="s">
        <v>624</v>
      </c>
      <c r="C50" s="247" t="s">
        <v>625</v>
      </c>
      <c r="D50" s="247" t="s">
        <v>626</v>
      </c>
    </row>
    <row r="51" spans="1:4" ht="72.5" x14ac:dyDescent="0.35">
      <c r="A51" s="247" t="s">
        <v>627</v>
      </c>
      <c r="B51" s="247" t="s">
        <v>628</v>
      </c>
      <c r="C51" s="247" t="s">
        <v>629</v>
      </c>
      <c r="D51" s="247" t="s">
        <v>630</v>
      </c>
    </row>
    <row r="52" spans="1:4" ht="409.5" x14ac:dyDescent="0.35">
      <c r="A52" s="247" t="s">
        <v>643</v>
      </c>
      <c r="B52" s="247" t="s">
        <v>642</v>
      </c>
      <c r="C52" s="247" t="s">
        <v>659</v>
      </c>
      <c r="D52" s="247" t="s">
        <v>637</v>
      </c>
    </row>
    <row r="54" spans="1:4" ht="72.5" x14ac:dyDescent="0.35">
      <c r="A54" s="247" t="str">
        <f>"Bewilligungsvoraussetzung ist, dass im gewählten Handlungsfeld " &amp;D55&amp;" ein erhebliches Energie- und THG-Einsparpotenzial nachgewiesen werden kann."</f>
        <v>Bewilligungsvoraussetzung ist, dass im gewählten Handlungsfeld en ein erhebliches Energie- und THG-Einsparpotenzial nachgewiesen werden kann.</v>
      </c>
    </row>
    <row r="55" spans="1:4" ht="87" x14ac:dyDescent="0.35">
      <c r="A55" s="247" t="s">
        <v>635</v>
      </c>
      <c r="C55" s="247" t="str">
        <f>Basisdaten!I27</f>
        <v>bitte auswählen</v>
      </c>
      <c r="D55" s="247" t="str">
        <f>RIGHT(C55,LEN(C55)-13)</f>
        <v>en</v>
      </c>
    </row>
    <row r="56" spans="1:4" ht="409.5" x14ac:dyDescent="0.35">
      <c r="B56" s="247" t="s">
        <v>653</v>
      </c>
    </row>
  </sheetData>
  <customSheetViews>
    <customSheetView guid="{68ABA936-E0C3-4F62-AA1D-4FD1F5462098}" scale="70" state="hidden" topLeftCell="B1">
      <selection activeCell="D8" sqref="D8"/>
      <pageMargins left="0.7" right="0.7" top="0.78740157499999996" bottom="0.78740157499999996" header="0.3" footer="0.3"/>
    </customSheetView>
  </customSheetViews>
  <mergeCells count="7">
    <mergeCell ref="C7:F7"/>
    <mergeCell ref="C2:D2"/>
    <mergeCell ref="C1:F1"/>
    <mergeCell ref="E2:F2"/>
    <mergeCell ref="C4:F4"/>
    <mergeCell ref="C5:F5"/>
    <mergeCell ref="C6:F6"/>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AI100"/>
  <sheetViews>
    <sheetView showGridLines="0" showRowColHeaders="0" zoomScaleNormal="100" zoomScaleSheetLayoutView="124" workbookViewId="0">
      <selection activeCell="C4" sqref="C4:M4"/>
    </sheetView>
  </sheetViews>
  <sheetFormatPr baseColWidth="10" defaultColWidth="11.453125" defaultRowHeight="11.5" x14ac:dyDescent="0.25"/>
  <cols>
    <col min="1" max="1" width="2.54296875" style="1" customWidth="1"/>
    <col min="2" max="2" width="2.7265625" style="1" customWidth="1"/>
    <col min="3" max="3" width="2.81640625" style="1" customWidth="1"/>
    <col min="4" max="4" width="3.1796875" style="1" customWidth="1"/>
    <col min="5" max="5" width="3.7265625" style="1" customWidth="1"/>
    <col min="6" max="6" width="3.453125" style="1" customWidth="1"/>
    <col min="7" max="7" width="0.7265625" style="1" customWidth="1"/>
    <col min="8" max="8" width="9.453125" style="1" customWidth="1"/>
    <col min="9" max="9" width="4.54296875" style="1" customWidth="1"/>
    <col min="10" max="10" width="7.26953125" style="1" customWidth="1"/>
    <col min="11" max="11" width="10" style="1" customWidth="1"/>
    <col min="12" max="13" width="5.7265625" style="1" customWidth="1"/>
    <col min="14" max="16" width="11.453125" style="1" customWidth="1"/>
    <col min="17" max="17" width="12.81640625" style="1" customWidth="1"/>
    <col min="18" max="19" width="2.26953125" style="1" customWidth="1"/>
    <col min="20" max="20" width="21.54296875" style="1" customWidth="1"/>
    <col min="21" max="16384" width="11.453125" style="1"/>
  </cols>
  <sheetData>
    <row r="1" spans="1:35" x14ac:dyDescent="0.25">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row>
    <row r="2" spans="1:35" ht="12.75" hidden="1" customHeight="1" x14ac:dyDescent="0.25">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row>
    <row r="3" spans="1:35" ht="12" customHeight="1" x14ac:dyDescent="0.25">
      <c r="A3" s="421"/>
      <c r="S3" s="421"/>
      <c r="T3" s="421"/>
      <c r="U3" s="421"/>
      <c r="V3" s="421"/>
      <c r="W3" s="421"/>
      <c r="X3" s="421"/>
      <c r="Y3" s="421"/>
      <c r="Z3" s="421"/>
      <c r="AA3" s="421"/>
      <c r="AB3" s="421"/>
      <c r="AC3" s="421"/>
      <c r="AD3" s="421"/>
      <c r="AE3" s="421"/>
      <c r="AF3" s="421"/>
      <c r="AG3" s="421"/>
      <c r="AH3" s="421"/>
      <c r="AI3" s="421"/>
    </row>
    <row r="4" spans="1:35" s="4" customFormat="1" ht="50.25" customHeight="1" x14ac:dyDescent="0.25">
      <c r="A4" s="422"/>
      <c r="C4" s="533" t="str">
        <f>Basisdaten!C3</f>
        <v>Vorhabenbeschreibung 
4.1.10 a): Erstellung eines 
Fokuskonzeptes</v>
      </c>
      <c r="D4" s="533"/>
      <c r="E4" s="533"/>
      <c r="F4" s="533"/>
      <c r="G4" s="533"/>
      <c r="H4" s="533"/>
      <c r="I4" s="533"/>
      <c r="J4" s="533"/>
      <c r="K4" s="533"/>
      <c r="L4" s="533"/>
      <c r="M4" s="533"/>
      <c r="N4" s="1"/>
      <c r="O4" s="1"/>
      <c r="P4" s="1"/>
      <c r="Q4" s="1"/>
      <c r="R4" s="1"/>
      <c r="S4" s="422"/>
      <c r="T4" s="422"/>
      <c r="U4" s="422"/>
      <c r="V4" s="422"/>
      <c r="W4" s="422"/>
      <c r="X4" s="422"/>
      <c r="Y4" s="422"/>
      <c r="Z4" s="422"/>
      <c r="AA4" s="422"/>
      <c r="AB4" s="422"/>
      <c r="AC4" s="422"/>
      <c r="AD4" s="422"/>
      <c r="AE4" s="422"/>
      <c r="AF4" s="422"/>
      <c r="AG4" s="422"/>
      <c r="AH4" s="422"/>
      <c r="AI4" s="422"/>
    </row>
    <row r="5" spans="1:35" s="4" customFormat="1" ht="13.5" customHeight="1" x14ac:dyDescent="0.25">
      <c r="A5" s="422"/>
      <c r="C5" s="579" t="str">
        <f>Basisdaten!$C$6</f>
        <v/>
      </c>
      <c r="D5" s="579"/>
      <c r="E5" s="579"/>
      <c r="F5" s="579"/>
      <c r="G5" s="579"/>
      <c r="H5" s="579"/>
      <c r="I5" s="579"/>
      <c r="J5" s="579"/>
      <c r="K5" s="579"/>
      <c r="L5" s="579"/>
      <c r="M5" s="579"/>
      <c r="N5" s="1"/>
      <c r="O5" s="1"/>
      <c r="P5" s="1"/>
      <c r="Q5" s="1"/>
      <c r="R5" s="1"/>
      <c r="S5" s="422"/>
      <c r="T5" s="422"/>
      <c r="U5" s="422"/>
      <c r="V5" s="422"/>
      <c r="W5" s="422"/>
      <c r="X5" s="422"/>
      <c r="Y5" s="422"/>
      <c r="Z5" s="422"/>
      <c r="AA5" s="422"/>
      <c r="AB5" s="422"/>
      <c r="AC5" s="422"/>
      <c r="AD5" s="422"/>
      <c r="AE5" s="422"/>
      <c r="AF5" s="422"/>
      <c r="AG5" s="422"/>
      <c r="AH5" s="422"/>
      <c r="AI5" s="422"/>
    </row>
    <row r="6" spans="1:35" s="4" customFormat="1" ht="13.5" customHeight="1" x14ac:dyDescent="0.25">
      <c r="A6" s="422"/>
      <c r="C6" s="413" t="s">
        <v>603</v>
      </c>
      <c r="D6" s="335"/>
      <c r="E6" s="335"/>
      <c r="F6" s="335"/>
      <c r="G6" s="335"/>
      <c r="H6" s="335"/>
      <c r="I6" s="335"/>
      <c r="J6" s="335"/>
      <c r="K6" s="335"/>
      <c r="L6" s="335"/>
      <c r="M6" s="335"/>
      <c r="N6" s="1"/>
      <c r="O6" s="1"/>
      <c r="P6" s="1"/>
      <c r="Q6" s="1"/>
      <c r="R6" s="1"/>
      <c r="S6" s="422"/>
      <c r="T6" s="422"/>
      <c r="U6" s="422"/>
      <c r="V6" s="422"/>
      <c r="W6" s="422"/>
      <c r="X6" s="422"/>
      <c r="Y6" s="422"/>
      <c r="Z6" s="422"/>
      <c r="AA6" s="422"/>
      <c r="AB6" s="422"/>
      <c r="AC6" s="422"/>
      <c r="AD6" s="422"/>
      <c r="AE6" s="422"/>
      <c r="AF6" s="422"/>
      <c r="AG6" s="422"/>
      <c r="AH6" s="422"/>
      <c r="AI6" s="422"/>
    </row>
    <row r="7" spans="1:35" s="4" customFormat="1" ht="6" customHeight="1" x14ac:dyDescent="0.25">
      <c r="A7" s="422"/>
      <c r="C7" s="351"/>
      <c r="D7" s="335"/>
      <c r="E7" s="335"/>
      <c r="F7" s="335"/>
      <c r="G7" s="335"/>
      <c r="H7" s="335"/>
      <c r="I7" s="335"/>
      <c r="J7" s="335"/>
      <c r="K7" s="335"/>
      <c r="L7" s="335"/>
      <c r="M7" s="335"/>
      <c r="N7" s="1"/>
      <c r="O7" s="1"/>
      <c r="P7" s="1"/>
      <c r="Q7" s="1"/>
      <c r="R7" s="1"/>
      <c r="S7" s="422"/>
      <c r="T7" s="422"/>
      <c r="U7" s="422"/>
      <c r="V7" s="422"/>
      <c r="W7" s="422"/>
      <c r="X7" s="422"/>
      <c r="Y7" s="422"/>
      <c r="Z7" s="422"/>
      <c r="AA7" s="422"/>
      <c r="AB7" s="422"/>
      <c r="AC7" s="422"/>
      <c r="AD7" s="422"/>
      <c r="AE7" s="422"/>
      <c r="AF7" s="422"/>
      <c r="AG7" s="422"/>
      <c r="AH7" s="422"/>
      <c r="AI7" s="422"/>
    </row>
    <row r="8" spans="1:35" s="4" customFormat="1" ht="12" customHeight="1" x14ac:dyDescent="0.25">
      <c r="A8" s="422"/>
      <c r="C8" s="586" t="s">
        <v>9</v>
      </c>
      <c r="D8" s="587"/>
      <c r="E8" s="587"/>
      <c r="F8" s="587"/>
      <c r="G8" s="587"/>
      <c r="H8" s="587"/>
      <c r="I8" s="587"/>
      <c r="J8" s="587"/>
      <c r="K8" s="587"/>
      <c r="L8" s="587"/>
      <c r="M8" s="587"/>
      <c r="N8" s="587"/>
      <c r="O8" s="587"/>
      <c r="P8" s="587"/>
      <c r="Q8" s="588"/>
      <c r="R8" s="1"/>
      <c r="S8" s="422"/>
      <c r="T8" s="422"/>
      <c r="U8" s="422"/>
      <c r="V8" s="422"/>
      <c r="W8" s="422"/>
      <c r="X8" s="422"/>
      <c r="Y8" s="422"/>
      <c r="Z8" s="422"/>
      <c r="AA8" s="422"/>
      <c r="AB8" s="422"/>
      <c r="AC8" s="422"/>
      <c r="AD8" s="422"/>
      <c r="AE8" s="422"/>
      <c r="AF8" s="422"/>
      <c r="AG8" s="422"/>
      <c r="AH8" s="422"/>
      <c r="AI8" s="422"/>
    </row>
    <row r="9" spans="1:35" s="4" customFormat="1" ht="12" customHeight="1" x14ac:dyDescent="0.25">
      <c r="A9" s="422"/>
      <c r="C9" s="589" t="s">
        <v>420</v>
      </c>
      <c r="D9" s="590"/>
      <c r="E9" s="590"/>
      <c r="F9" s="590"/>
      <c r="G9" s="590"/>
      <c r="H9" s="590"/>
      <c r="I9" s="590"/>
      <c r="J9" s="590"/>
      <c r="K9" s="590"/>
      <c r="L9" s="590"/>
      <c r="M9" s="590"/>
      <c r="N9" s="590"/>
      <c r="O9" s="590"/>
      <c r="P9" s="590"/>
      <c r="Q9" s="591"/>
      <c r="R9" s="1"/>
      <c r="S9" s="422"/>
      <c r="T9" s="422"/>
      <c r="U9" s="422"/>
      <c r="V9" s="422"/>
      <c r="W9" s="422"/>
      <c r="X9" s="422"/>
      <c r="Y9" s="422"/>
      <c r="Z9" s="422"/>
      <c r="AA9" s="422"/>
      <c r="AB9" s="422"/>
      <c r="AC9" s="422"/>
      <c r="AD9" s="422"/>
      <c r="AE9" s="422"/>
      <c r="AF9" s="422"/>
      <c r="AG9" s="422"/>
      <c r="AH9" s="422"/>
      <c r="AI9" s="422"/>
    </row>
    <row r="10" spans="1:35" s="4" customFormat="1" ht="6" customHeight="1" thickBot="1" x14ac:dyDescent="0.3">
      <c r="A10" s="422"/>
      <c r="C10" s="351"/>
      <c r="D10" s="335"/>
      <c r="E10" s="335"/>
      <c r="F10" s="335"/>
      <c r="G10" s="335"/>
      <c r="H10" s="335"/>
      <c r="I10" s="335"/>
      <c r="J10" s="335"/>
      <c r="K10" s="335"/>
      <c r="L10" s="335"/>
      <c r="M10" s="335"/>
      <c r="N10" s="1"/>
      <c r="O10" s="1"/>
      <c r="P10" s="1"/>
      <c r="Q10" s="1"/>
      <c r="R10" s="1"/>
      <c r="S10" s="422"/>
      <c r="T10" s="422"/>
      <c r="U10" s="422"/>
      <c r="V10" s="422"/>
      <c r="W10" s="422"/>
      <c r="X10" s="422"/>
      <c r="Y10" s="422"/>
      <c r="Z10" s="422"/>
      <c r="AA10" s="422"/>
      <c r="AB10" s="422"/>
      <c r="AC10" s="422"/>
      <c r="AD10" s="422"/>
      <c r="AE10" s="422"/>
      <c r="AF10" s="422"/>
      <c r="AG10" s="422"/>
      <c r="AH10" s="422"/>
      <c r="AI10" s="422"/>
    </row>
    <row r="11" spans="1:35" ht="24.75" customHeight="1" x14ac:dyDescent="0.25">
      <c r="A11" s="421"/>
      <c r="C11" s="576" t="str">
        <f>menu!B174</f>
        <v>Bisherige Klimaschutzaktivitäten, Motivation und ggf. strukturelle Besonderheiten:</v>
      </c>
      <c r="D11" s="577"/>
      <c r="E11" s="577"/>
      <c r="F11" s="577"/>
      <c r="G11" s="577"/>
      <c r="H11" s="577"/>
      <c r="I11" s="577"/>
      <c r="J11" s="577"/>
      <c r="K11" s="577"/>
      <c r="L11" s="577"/>
      <c r="M11" s="577"/>
      <c r="N11" s="577"/>
      <c r="O11" s="577"/>
      <c r="P11" s="577"/>
      <c r="Q11" s="578"/>
      <c r="S11" s="421"/>
      <c r="T11" s="421"/>
      <c r="U11" s="431"/>
      <c r="V11" s="431"/>
      <c r="W11" s="431"/>
      <c r="X11" s="431"/>
      <c r="Y11" s="431"/>
      <c r="Z11" s="431"/>
      <c r="AA11" s="431"/>
      <c r="AB11" s="431"/>
      <c r="AC11" s="431"/>
      <c r="AD11" s="431"/>
      <c r="AE11" s="431"/>
      <c r="AF11" s="431"/>
      <c r="AG11" s="431"/>
      <c r="AH11" s="431"/>
      <c r="AI11" s="431"/>
    </row>
    <row r="12" spans="1:35" ht="19.5" customHeight="1" x14ac:dyDescent="0.25">
      <c r="A12" s="421"/>
      <c r="C12" s="580"/>
      <c r="D12" s="581"/>
      <c r="E12" s="581"/>
      <c r="F12" s="581"/>
      <c r="G12" s="581"/>
      <c r="H12" s="581"/>
      <c r="I12" s="581"/>
      <c r="J12" s="581"/>
      <c r="K12" s="581"/>
      <c r="L12" s="581"/>
      <c r="M12" s="581"/>
      <c r="N12" s="581"/>
      <c r="O12" s="581"/>
      <c r="P12" s="581"/>
      <c r="Q12" s="582"/>
      <c r="S12" s="421"/>
      <c r="T12" s="421"/>
      <c r="U12" s="421"/>
      <c r="V12" s="421"/>
      <c r="W12" s="421"/>
      <c r="X12" s="421"/>
      <c r="Y12" s="421"/>
      <c r="Z12" s="421"/>
      <c r="AA12" s="421"/>
      <c r="AB12" s="421"/>
      <c r="AC12" s="421"/>
      <c r="AD12" s="421"/>
      <c r="AE12" s="421"/>
      <c r="AF12" s="421"/>
      <c r="AG12" s="421"/>
      <c r="AH12" s="421"/>
      <c r="AI12" s="421"/>
    </row>
    <row r="13" spans="1:35" ht="12" customHeight="1" x14ac:dyDescent="0.25">
      <c r="A13" s="421"/>
      <c r="C13" s="580"/>
      <c r="D13" s="581"/>
      <c r="E13" s="581"/>
      <c r="F13" s="581"/>
      <c r="G13" s="581"/>
      <c r="H13" s="581"/>
      <c r="I13" s="581"/>
      <c r="J13" s="581"/>
      <c r="K13" s="581"/>
      <c r="L13" s="581"/>
      <c r="M13" s="581"/>
      <c r="N13" s="581"/>
      <c r="O13" s="581"/>
      <c r="P13" s="581"/>
      <c r="Q13" s="582"/>
      <c r="S13" s="421"/>
      <c r="T13" s="421"/>
      <c r="U13" s="421"/>
      <c r="V13" s="421"/>
      <c r="W13" s="421"/>
      <c r="X13" s="421"/>
      <c r="Y13" s="421"/>
      <c r="Z13" s="421"/>
      <c r="AA13" s="421"/>
      <c r="AB13" s="421"/>
      <c r="AC13" s="421"/>
      <c r="AD13" s="421"/>
      <c r="AE13" s="421"/>
      <c r="AF13" s="421"/>
      <c r="AG13" s="421"/>
      <c r="AH13" s="421"/>
      <c r="AI13" s="421"/>
    </row>
    <row r="14" spans="1:35" x14ac:dyDescent="0.25">
      <c r="A14" s="421"/>
      <c r="C14" s="580"/>
      <c r="D14" s="581"/>
      <c r="E14" s="581"/>
      <c r="F14" s="581"/>
      <c r="G14" s="581"/>
      <c r="H14" s="581"/>
      <c r="I14" s="581"/>
      <c r="J14" s="581"/>
      <c r="K14" s="581"/>
      <c r="L14" s="581"/>
      <c r="M14" s="581"/>
      <c r="N14" s="581"/>
      <c r="O14" s="581"/>
      <c r="P14" s="581"/>
      <c r="Q14" s="582"/>
      <c r="S14" s="421"/>
      <c r="T14" s="421"/>
      <c r="U14" s="421"/>
      <c r="V14" s="421"/>
      <c r="W14" s="421"/>
      <c r="X14" s="421"/>
      <c r="Y14" s="421"/>
      <c r="Z14" s="421"/>
      <c r="AA14" s="421"/>
      <c r="AB14" s="421"/>
      <c r="AC14" s="421"/>
      <c r="AD14" s="421"/>
      <c r="AE14" s="421"/>
      <c r="AF14" s="421"/>
      <c r="AG14" s="421"/>
      <c r="AH14" s="421"/>
      <c r="AI14" s="421"/>
    </row>
    <row r="15" spans="1:35" ht="12" customHeight="1" x14ac:dyDescent="0.25">
      <c r="A15" s="421"/>
      <c r="C15" s="580"/>
      <c r="D15" s="581"/>
      <c r="E15" s="581"/>
      <c r="F15" s="581"/>
      <c r="G15" s="581"/>
      <c r="H15" s="581"/>
      <c r="I15" s="581"/>
      <c r="J15" s="581"/>
      <c r="K15" s="581"/>
      <c r="L15" s="581"/>
      <c r="M15" s="581"/>
      <c r="N15" s="581"/>
      <c r="O15" s="581"/>
      <c r="P15" s="581"/>
      <c r="Q15" s="582"/>
      <c r="S15" s="421"/>
      <c r="T15" s="421"/>
      <c r="U15" s="421"/>
      <c r="V15" s="421"/>
      <c r="W15" s="421"/>
      <c r="X15" s="421"/>
      <c r="Y15" s="421"/>
      <c r="Z15" s="421"/>
      <c r="AA15" s="421"/>
      <c r="AB15" s="421"/>
      <c r="AC15" s="421"/>
      <c r="AD15" s="421"/>
      <c r="AE15" s="421"/>
      <c r="AF15" s="421"/>
      <c r="AG15" s="421"/>
      <c r="AH15" s="421"/>
      <c r="AI15" s="421"/>
    </row>
    <row r="16" spans="1:35" x14ac:dyDescent="0.25">
      <c r="A16" s="421"/>
      <c r="C16" s="580"/>
      <c r="D16" s="581"/>
      <c r="E16" s="581"/>
      <c r="F16" s="581"/>
      <c r="G16" s="581"/>
      <c r="H16" s="581"/>
      <c r="I16" s="581"/>
      <c r="J16" s="581"/>
      <c r="K16" s="581"/>
      <c r="L16" s="581"/>
      <c r="M16" s="581"/>
      <c r="N16" s="581"/>
      <c r="O16" s="581"/>
      <c r="P16" s="581"/>
      <c r="Q16" s="582"/>
      <c r="S16" s="421"/>
      <c r="T16" s="421"/>
      <c r="U16" s="421"/>
      <c r="V16" s="421"/>
      <c r="W16" s="421"/>
      <c r="X16" s="421"/>
      <c r="Y16" s="421"/>
      <c r="Z16" s="421"/>
      <c r="AA16" s="421"/>
      <c r="AB16" s="421"/>
      <c r="AC16" s="421"/>
      <c r="AD16" s="421"/>
      <c r="AE16" s="421"/>
      <c r="AF16" s="421"/>
      <c r="AG16" s="421"/>
      <c r="AH16" s="421"/>
      <c r="AI16" s="421"/>
    </row>
    <row r="17" spans="1:35" x14ac:dyDescent="0.25">
      <c r="A17" s="421"/>
      <c r="C17" s="580"/>
      <c r="D17" s="581"/>
      <c r="E17" s="581"/>
      <c r="F17" s="581"/>
      <c r="G17" s="581"/>
      <c r="H17" s="581"/>
      <c r="I17" s="581"/>
      <c r="J17" s="581"/>
      <c r="K17" s="581"/>
      <c r="L17" s="581"/>
      <c r="M17" s="581"/>
      <c r="N17" s="581"/>
      <c r="O17" s="581"/>
      <c r="P17" s="581"/>
      <c r="Q17" s="582"/>
      <c r="S17" s="421"/>
      <c r="T17" s="421"/>
      <c r="U17" s="421"/>
      <c r="V17" s="421"/>
      <c r="W17" s="421"/>
      <c r="X17" s="421"/>
      <c r="Y17" s="421"/>
      <c r="Z17" s="421"/>
      <c r="AA17" s="421"/>
      <c r="AB17" s="421"/>
      <c r="AC17" s="421"/>
      <c r="AD17" s="421"/>
      <c r="AE17" s="421"/>
      <c r="AF17" s="421"/>
      <c r="AG17" s="421"/>
      <c r="AH17" s="421"/>
      <c r="AI17" s="421"/>
    </row>
    <row r="18" spans="1:35" x14ac:dyDescent="0.25">
      <c r="A18" s="421"/>
      <c r="C18" s="580"/>
      <c r="D18" s="581"/>
      <c r="E18" s="581"/>
      <c r="F18" s="581"/>
      <c r="G18" s="581"/>
      <c r="H18" s="581"/>
      <c r="I18" s="581"/>
      <c r="J18" s="581"/>
      <c r="K18" s="581"/>
      <c r="L18" s="581"/>
      <c r="M18" s="581"/>
      <c r="N18" s="581"/>
      <c r="O18" s="581"/>
      <c r="P18" s="581"/>
      <c r="Q18" s="582"/>
      <c r="S18" s="421"/>
      <c r="T18" s="421"/>
      <c r="U18" s="421"/>
      <c r="V18" s="421"/>
      <c r="W18" s="421"/>
      <c r="X18" s="421"/>
      <c r="Y18" s="421"/>
      <c r="Z18" s="421"/>
      <c r="AA18" s="421"/>
      <c r="AB18" s="421"/>
      <c r="AC18" s="421"/>
      <c r="AD18" s="421"/>
      <c r="AE18" s="421"/>
      <c r="AF18" s="421"/>
      <c r="AG18" s="421"/>
      <c r="AH18" s="421"/>
      <c r="AI18" s="421"/>
    </row>
    <row r="19" spans="1:35" x14ac:dyDescent="0.25">
      <c r="A19" s="421"/>
      <c r="C19" s="580"/>
      <c r="D19" s="581"/>
      <c r="E19" s="581"/>
      <c r="F19" s="581"/>
      <c r="G19" s="581"/>
      <c r="H19" s="581"/>
      <c r="I19" s="581"/>
      <c r="J19" s="581"/>
      <c r="K19" s="581"/>
      <c r="L19" s="581"/>
      <c r="M19" s="581"/>
      <c r="N19" s="581"/>
      <c r="O19" s="581"/>
      <c r="P19" s="581"/>
      <c r="Q19" s="582"/>
      <c r="S19" s="421"/>
      <c r="T19" s="421"/>
      <c r="U19" s="421"/>
      <c r="V19" s="421"/>
      <c r="W19" s="421"/>
      <c r="X19" s="421"/>
      <c r="Y19" s="421"/>
      <c r="Z19" s="421"/>
      <c r="AA19" s="421"/>
      <c r="AB19" s="421"/>
      <c r="AC19" s="421"/>
      <c r="AD19" s="421"/>
      <c r="AE19" s="421"/>
      <c r="AF19" s="421"/>
      <c r="AG19" s="421"/>
      <c r="AH19" s="421"/>
      <c r="AI19" s="421"/>
    </row>
    <row r="20" spans="1:35" x14ac:dyDescent="0.25">
      <c r="A20" s="421"/>
      <c r="C20" s="580"/>
      <c r="D20" s="581"/>
      <c r="E20" s="581"/>
      <c r="F20" s="581"/>
      <c r="G20" s="581"/>
      <c r="H20" s="581"/>
      <c r="I20" s="581"/>
      <c r="J20" s="581"/>
      <c r="K20" s="581"/>
      <c r="L20" s="581"/>
      <c r="M20" s="581"/>
      <c r="N20" s="581"/>
      <c r="O20" s="581"/>
      <c r="P20" s="581"/>
      <c r="Q20" s="582"/>
      <c r="S20" s="421"/>
      <c r="T20" s="421"/>
      <c r="U20" s="421"/>
      <c r="V20" s="421"/>
      <c r="W20" s="421"/>
      <c r="X20" s="421"/>
      <c r="Y20" s="421"/>
      <c r="Z20" s="421"/>
      <c r="AA20" s="421"/>
      <c r="AB20" s="421"/>
      <c r="AC20" s="421"/>
      <c r="AD20" s="421"/>
      <c r="AE20" s="421"/>
      <c r="AF20" s="421"/>
      <c r="AG20" s="421"/>
      <c r="AH20" s="421"/>
      <c r="AI20" s="421"/>
    </row>
    <row r="21" spans="1:35" x14ac:dyDescent="0.25">
      <c r="A21" s="421"/>
      <c r="C21" s="580"/>
      <c r="D21" s="581"/>
      <c r="E21" s="581"/>
      <c r="F21" s="581"/>
      <c r="G21" s="581"/>
      <c r="H21" s="581"/>
      <c r="I21" s="581"/>
      <c r="J21" s="581"/>
      <c r="K21" s="581"/>
      <c r="L21" s="581"/>
      <c r="M21" s="581"/>
      <c r="N21" s="581"/>
      <c r="O21" s="581"/>
      <c r="P21" s="581"/>
      <c r="Q21" s="582"/>
      <c r="S21" s="421"/>
      <c r="T21" s="421"/>
      <c r="U21" s="421"/>
      <c r="V21" s="421"/>
      <c r="W21" s="421"/>
      <c r="X21" s="421"/>
      <c r="Y21" s="421"/>
      <c r="Z21" s="421"/>
      <c r="AA21" s="421"/>
      <c r="AB21" s="421"/>
      <c r="AC21" s="421"/>
      <c r="AD21" s="421"/>
      <c r="AE21" s="421"/>
      <c r="AF21" s="421"/>
      <c r="AG21" s="421"/>
      <c r="AH21" s="421"/>
      <c r="AI21" s="421"/>
    </row>
    <row r="22" spans="1:35" x14ac:dyDescent="0.25">
      <c r="A22" s="421"/>
      <c r="C22" s="580"/>
      <c r="D22" s="581"/>
      <c r="E22" s="581"/>
      <c r="F22" s="581"/>
      <c r="G22" s="581"/>
      <c r="H22" s="581"/>
      <c r="I22" s="581"/>
      <c r="J22" s="581"/>
      <c r="K22" s="581"/>
      <c r="L22" s="581"/>
      <c r="M22" s="581"/>
      <c r="N22" s="581"/>
      <c r="O22" s="581"/>
      <c r="P22" s="581"/>
      <c r="Q22" s="582"/>
      <c r="S22" s="421"/>
      <c r="T22" s="421"/>
      <c r="U22" s="421"/>
      <c r="V22" s="421"/>
      <c r="W22" s="421"/>
      <c r="X22" s="421"/>
      <c r="Y22" s="421"/>
      <c r="Z22" s="421"/>
      <c r="AA22" s="421"/>
      <c r="AB22" s="421"/>
      <c r="AC22" s="421"/>
      <c r="AD22" s="421"/>
      <c r="AE22" s="421"/>
      <c r="AF22" s="421"/>
      <c r="AG22" s="421"/>
      <c r="AH22" s="421"/>
      <c r="AI22" s="421"/>
    </row>
    <row r="23" spans="1:35" x14ac:dyDescent="0.25">
      <c r="A23" s="421"/>
      <c r="C23" s="580"/>
      <c r="D23" s="581"/>
      <c r="E23" s="581"/>
      <c r="F23" s="581"/>
      <c r="G23" s="581"/>
      <c r="H23" s="581"/>
      <c r="I23" s="581"/>
      <c r="J23" s="581"/>
      <c r="K23" s="581"/>
      <c r="L23" s="581"/>
      <c r="M23" s="581"/>
      <c r="N23" s="581"/>
      <c r="O23" s="581"/>
      <c r="P23" s="581"/>
      <c r="Q23" s="582"/>
      <c r="S23" s="421"/>
      <c r="T23" s="421"/>
      <c r="U23" s="421"/>
      <c r="V23" s="421"/>
      <c r="W23" s="421"/>
      <c r="X23" s="421"/>
      <c r="Y23" s="421"/>
      <c r="Z23" s="421"/>
      <c r="AA23" s="421"/>
      <c r="AB23" s="421"/>
      <c r="AC23" s="421"/>
      <c r="AD23" s="421"/>
      <c r="AE23" s="421"/>
      <c r="AF23" s="421"/>
      <c r="AG23" s="421"/>
      <c r="AH23" s="421"/>
      <c r="AI23" s="421"/>
    </row>
    <row r="24" spans="1:35" x14ac:dyDescent="0.25">
      <c r="A24" s="421"/>
      <c r="C24" s="580"/>
      <c r="D24" s="581"/>
      <c r="E24" s="581"/>
      <c r="F24" s="581"/>
      <c r="G24" s="581"/>
      <c r="H24" s="581"/>
      <c r="I24" s="581"/>
      <c r="J24" s="581"/>
      <c r="K24" s="581"/>
      <c r="L24" s="581"/>
      <c r="M24" s="581"/>
      <c r="N24" s="581"/>
      <c r="O24" s="581"/>
      <c r="P24" s="581"/>
      <c r="Q24" s="582"/>
      <c r="S24" s="421"/>
      <c r="T24" s="421"/>
      <c r="U24" s="421"/>
      <c r="V24" s="421"/>
      <c r="W24" s="421"/>
      <c r="X24" s="421"/>
      <c r="Y24" s="421"/>
      <c r="Z24" s="421"/>
      <c r="AA24" s="421"/>
      <c r="AB24" s="421"/>
      <c r="AC24" s="421"/>
      <c r="AD24" s="421"/>
      <c r="AE24" s="421"/>
      <c r="AF24" s="421"/>
      <c r="AG24" s="421"/>
      <c r="AH24" s="421"/>
      <c r="AI24" s="421"/>
    </row>
    <row r="25" spans="1:35" x14ac:dyDescent="0.25">
      <c r="A25" s="421"/>
      <c r="C25" s="580"/>
      <c r="D25" s="581"/>
      <c r="E25" s="581"/>
      <c r="F25" s="581"/>
      <c r="G25" s="581"/>
      <c r="H25" s="581"/>
      <c r="I25" s="581"/>
      <c r="J25" s="581"/>
      <c r="K25" s="581"/>
      <c r="L25" s="581"/>
      <c r="M25" s="581"/>
      <c r="N25" s="581"/>
      <c r="O25" s="581"/>
      <c r="P25" s="581"/>
      <c r="Q25" s="582"/>
      <c r="S25" s="421"/>
      <c r="T25" s="421"/>
      <c r="U25" s="421"/>
      <c r="V25" s="421"/>
      <c r="W25" s="421"/>
      <c r="X25" s="421"/>
      <c r="Y25" s="421"/>
      <c r="Z25" s="421"/>
      <c r="AA25" s="421"/>
      <c r="AB25" s="421"/>
      <c r="AC25" s="421"/>
      <c r="AD25" s="421"/>
      <c r="AE25" s="421"/>
      <c r="AF25" s="421"/>
      <c r="AG25" s="421"/>
      <c r="AH25" s="421"/>
      <c r="AI25" s="421"/>
    </row>
    <row r="26" spans="1:35" x14ac:dyDescent="0.25">
      <c r="A26" s="421"/>
      <c r="C26" s="580"/>
      <c r="D26" s="581"/>
      <c r="E26" s="581"/>
      <c r="F26" s="581"/>
      <c r="G26" s="581"/>
      <c r="H26" s="581"/>
      <c r="I26" s="581"/>
      <c r="J26" s="581"/>
      <c r="K26" s="581"/>
      <c r="L26" s="581"/>
      <c r="M26" s="581"/>
      <c r="N26" s="581"/>
      <c r="O26" s="581"/>
      <c r="P26" s="581"/>
      <c r="Q26" s="582"/>
      <c r="S26" s="421"/>
      <c r="T26" s="421"/>
      <c r="U26" s="421"/>
      <c r="V26" s="421"/>
      <c r="W26" s="421"/>
      <c r="X26" s="421"/>
      <c r="Y26" s="421"/>
      <c r="Z26" s="421"/>
      <c r="AA26" s="421"/>
      <c r="AB26" s="421"/>
      <c r="AC26" s="421"/>
      <c r="AD26" s="421"/>
      <c r="AE26" s="421"/>
      <c r="AF26" s="421"/>
      <c r="AG26" s="421"/>
      <c r="AH26" s="421"/>
      <c r="AI26" s="421"/>
    </row>
    <row r="27" spans="1:35" ht="22.5" customHeight="1" thickBot="1" x14ac:dyDescent="0.3">
      <c r="A27" s="421"/>
      <c r="C27" s="583"/>
      <c r="D27" s="584"/>
      <c r="E27" s="584"/>
      <c r="F27" s="584"/>
      <c r="G27" s="584"/>
      <c r="H27" s="584"/>
      <c r="I27" s="584"/>
      <c r="J27" s="584"/>
      <c r="K27" s="584"/>
      <c r="L27" s="584"/>
      <c r="M27" s="584"/>
      <c r="N27" s="584"/>
      <c r="O27" s="584"/>
      <c r="P27" s="584"/>
      <c r="Q27" s="585"/>
      <c r="S27" s="421"/>
      <c r="T27" s="421"/>
      <c r="U27" s="421"/>
      <c r="V27" s="421"/>
      <c r="W27" s="421"/>
      <c r="X27" s="421"/>
      <c r="Y27" s="421"/>
      <c r="Z27" s="421"/>
      <c r="AA27" s="421"/>
      <c r="AB27" s="421"/>
      <c r="AC27" s="421"/>
      <c r="AD27" s="421"/>
      <c r="AE27" s="421"/>
      <c r="AF27" s="421"/>
      <c r="AG27" s="421"/>
      <c r="AH27" s="421"/>
      <c r="AI27" s="421"/>
    </row>
    <row r="28" spans="1:35" ht="6" customHeight="1" thickBot="1" x14ac:dyDescent="0.3">
      <c r="A28" s="421"/>
      <c r="C28" s="15"/>
      <c r="D28" s="15"/>
      <c r="E28" s="15"/>
      <c r="F28" s="15"/>
      <c r="G28" s="15"/>
      <c r="H28" s="15"/>
      <c r="I28" s="15"/>
      <c r="J28" s="15"/>
      <c r="K28" s="15"/>
      <c r="L28" s="15"/>
      <c r="M28" s="15"/>
      <c r="N28" s="15"/>
      <c r="O28" s="15"/>
      <c r="P28" s="15"/>
      <c r="Q28" s="15"/>
      <c r="S28" s="421"/>
      <c r="T28" s="421"/>
      <c r="U28" s="421"/>
      <c r="V28" s="421"/>
      <c r="W28" s="421"/>
      <c r="X28" s="421"/>
      <c r="Y28" s="421"/>
      <c r="Z28" s="421"/>
      <c r="AA28" s="421"/>
      <c r="AB28" s="421"/>
      <c r="AC28" s="421"/>
      <c r="AD28" s="421"/>
      <c r="AE28" s="421"/>
      <c r="AF28" s="421"/>
      <c r="AG28" s="421"/>
      <c r="AH28" s="421"/>
      <c r="AI28" s="421"/>
    </row>
    <row r="29" spans="1:35" ht="24.75" customHeight="1" x14ac:dyDescent="0.25">
      <c r="A29" s="421"/>
      <c r="C29" s="576">
        <f>menu!B175</f>
        <v>0</v>
      </c>
      <c r="D29" s="577"/>
      <c r="E29" s="577"/>
      <c r="F29" s="577"/>
      <c r="G29" s="577"/>
      <c r="H29" s="577"/>
      <c r="I29" s="577"/>
      <c r="J29" s="577"/>
      <c r="K29" s="577"/>
      <c r="L29" s="577"/>
      <c r="M29" s="577"/>
      <c r="N29" s="577"/>
      <c r="O29" s="577"/>
      <c r="P29" s="577"/>
      <c r="Q29" s="578"/>
      <c r="S29" s="421"/>
      <c r="T29" s="421"/>
      <c r="U29" s="592"/>
      <c r="V29" s="592"/>
      <c r="W29" s="592"/>
      <c r="X29" s="592"/>
      <c r="Y29" s="592"/>
      <c r="Z29" s="592"/>
      <c r="AA29" s="592"/>
      <c r="AB29" s="592"/>
      <c r="AC29" s="592"/>
      <c r="AD29" s="592"/>
      <c r="AE29" s="592"/>
      <c r="AF29" s="592"/>
      <c r="AG29" s="592"/>
      <c r="AH29" s="592"/>
      <c r="AI29" s="592"/>
    </row>
    <row r="30" spans="1:35" ht="19.5" customHeight="1" x14ac:dyDescent="0.25">
      <c r="A30" s="421"/>
      <c r="C30" s="580"/>
      <c r="D30" s="581"/>
      <c r="E30" s="581"/>
      <c r="F30" s="581"/>
      <c r="G30" s="581"/>
      <c r="H30" s="581"/>
      <c r="I30" s="581"/>
      <c r="J30" s="581"/>
      <c r="K30" s="581"/>
      <c r="L30" s="581"/>
      <c r="M30" s="581"/>
      <c r="N30" s="581"/>
      <c r="O30" s="581"/>
      <c r="P30" s="581"/>
      <c r="Q30" s="582"/>
      <c r="S30" s="421"/>
      <c r="T30" s="421"/>
      <c r="U30" s="421"/>
      <c r="V30" s="421"/>
      <c r="W30" s="421"/>
      <c r="X30" s="421"/>
      <c r="Y30" s="421"/>
      <c r="Z30" s="421"/>
      <c r="AA30" s="421"/>
      <c r="AB30" s="421"/>
      <c r="AC30" s="421"/>
      <c r="AD30" s="421"/>
      <c r="AE30" s="421"/>
      <c r="AF30" s="421"/>
      <c r="AG30" s="421"/>
      <c r="AH30" s="421"/>
      <c r="AI30" s="421"/>
    </row>
    <row r="31" spans="1:35" ht="12" customHeight="1" x14ac:dyDescent="0.25">
      <c r="A31" s="421"/>
      <c r="C31" s="580"/>
      <c r="D31" s="581"/>
      <c r="E31" s="581"/>
      <c r="F31" s="581"/>
      <c r="G31" s="581"/>
      <c r="H31" s="581"/>
      <c r="I31" s="581"/>
      <c r="J31" s="581"/>
      <c r="K31" s="581"/>
      <c r="L31" s="581"/>
      <c r="M31" s="581"/>
      <c r="N31" s="581"/>
      <c r="O31" s="581"/>
      <c r="P31" s="581"/>
      <c r="Q31" s="582"/>
      <c r="S31" s="421"/>
      <c r="T31" s="421"/>
      <c r="U31" s="421"/>
      <c r="V31" s="421"/>
      <c r="W31" s="421"/>
      <c r="X31" s="421"/>
      <c r="Y31" s="421"/>
      <c r="Z31" s="421"/>
      <c r="AA31" s="421"/>
      <c r="AB31" s="421"/>
      <c r="AC31" s="421"/>
      <c r="AD31" s="421"/>
      <c r="AE31" s="421"/>
      <c r="AF31" s="421"/>
      <c r="AG31" s="421"/>
      <c r="AH31" s="421"/>
      <c r="AI31" s="421"/>
    </row>
    <row r="32" spans="1:35" x14ac:dyDescent="0.25">
      <c r="A32" s="421"/>
      <c r="C32" s="580"/>
      <c r="D32" s="581"/>
      <c r="E32" s="581"/>
      <c r="F32" s="581"/>
      <c r="G32" s="581"/>
      <c r="H32" s="581"/>
      <c r="I32" s="581"/>
      <c r="J32" s="581"/>
      <c r="K32" s="581"/>
      <c r="L32" s="581"/>
      <c r="M32" s="581"/>
      <c r="N32" s="581"/>
      <c r="O32" s="581"/>
      <c r="P32" s="581"/>
      <c r="Q32" s="582"/>
      <c r="S32" s="421"/>
      <c r="T32" s="421"/>
      <c r="U32" s="421"/>
      <c r="V32" s="421"/>
      <c r="W32" s="421"/>
      <c r="X32" s="421"/>
      <c r="Y32" s="421"/>
      <c r="Z32" s="421"/>
      <c r="AA32" s="421"/>
      <c r="AB32" s="421"/>
      <c r="AC32" s="421"/>
      <c r="AD32" s="421"/>
      <c r="AE32" s="421"/>
      <c r="AF32" s="421"/>
      <c r="AG32" s="421"/>
      <c r="AH32" s="421"/>
      <c r="AI32" s="421"/>
    </row>
    <row r="33" spans="1:35" ht="12" customHeight="1" x14ac:dyDescent="0.25">
      <c r="A33" s="421"/>
      <c r="C33" s="580"/>
      <c r="D33" s="581"/>
      <c r="E33" s="581"/>
      <c r="F33" s="581"/>
      <c r="G33" s="581"/>
      <c r="H33" s="581"/>
      <c r="I33" s="581"/>
      <c r="J33" s="581"/>
      <c r="K33" s="581"/>
      <c r="L33" s="581"/>
      <c r="M33" s="581"/>
      <c r="N33" s="581"/>
      <c r="O33" s="581"/>
      <c r="P33" s="581"/>
      <c r="Q33" s="582"/>
      <c r="S33" s="421"/>
      <c r="T33" s="421"/>
      <c r="U33" s="421"/>
      <c r="V33" s="421"/>
      <c r="W33" s="421"/>
      <c r="X33" s="421"/>
      <c r="Y33" s="421"/>
      <c r="Z33" s="421"/>
      <c r="AA33" s="421"/>
      <c r="AB33" s="421"/>
      <c r="AC33" s="421"/>
      <c r="AD33" s="421"/>
      <c r="AE33" s="421"/>
      <c r="AF33" s="421"/>
      <c r="AG33" s="421"/>
      <c r="AH33" s="421"/>
      <c r="AI33" s="421"/>
    </row>
    <row r="34" spans="1:35" x14ac:dyDescent="0.25">
      <c r="A34" s="421"/>
      <c r="C34" s="580"/>
      <c r="D34" s="581"/>
      <c r="E34" s="581"/>
      <c r="F34" s="581"/>
      <c r="G34" s="581"/>
      <c r="H34" s="581"/>
      <c r="I34" s="581"/>
      <c r="J34" s="581"/>
      <c r="K34" s="581"/>
      <c r="L34" s="581"/>
      <c r="M34" s="581"/>
      <c r="N34" s="581"/>
      <c r="O34" s="581"/>
      <c r="P34" s="581"/>
      <c r="Q34" s="582"/>
      <c r="S34" s="421"/>
      <c r="T34" s="421"/>
      <c r="U34" s="421"/>
      <c r="V34" s="421"/>
      <c r="W34" s="421"/>
      <c r="X34" s="421"/>
      <c r="Y34" s="421"/>
      <c r="Z34" s="421"/>
      <c r="AA34" s="421"/>
      <c r="AB34" s="421"/>
      <c r="AC34" s="421"/>
      <c r="AD34" s="421"/>
      <c r="AE34" s="421"/>
      <c r="AF34" s="421"/>
      <c r="AG34" s="421"/>
      <c r="AH34" s="421"/>
      <c r="AI34" s="421"/>
    </row>
    <row r="35" spans="1:35" x14ac:dyDescent="0.25">
      <c r="A35" s="421"/>
      <c r="C35" s="580"/>
      <c r="D35" s="581"/>
      <c r="E35" s="581"/>
      <c r="F35" s="581"/>
      <c r="G35" s="581"/>
      <c r="H35" s="581"/>
      <c r="I35" s="581"/>
      <c r="J35" s="581"/>
      <c r="K35" s="581"/>
      <c r="L35" s="581"/>
      <c r="M35" s="581"/>
      <c r="N35" s="581"/>
      <c r="O35" s="581"/>
      <c r="P35" s="581"/>
      <c r="Q35" s="582"/>
      <c r="S35" s="421"/>
      <c r="T35" s="421"/>
      <c r="U35" s="421"/>
      <c r="V35" s="421"/>
      <c r="W35" s="421"/>
      <c r="X35" s="421"/>
      <c r="Y35" s="421"/>
      <c r="Z35" s="421"/>
      <c r="AA35" s="421"/>
      <c r="AB35" s="421"/>
      <c r="AC35" s="421"/>
      <c r="AD35" s="421"/>
      <c r="AE35" s="421"/>
      <c r="AF35" s="421"/>
      <c r="AG35" s="421"/>
      <c r="AH35" s="421"/>
      <c r="AI35" s="421"/>
    </row>
    <row r="36" spans="1:35" x14ac:dyDescent="0.25">
      <c r="A36" s="421"/>
      <c r="C36" s="580"/>
      <c r="D36" s="581"/>
      <c r="E36" s="581"/>
      <c r="F36" s="581"/>
      <c r="G36" s="581"/>
      <c r="H36" s="581"/>
      <c r="I36" s="581"/>
      <c r="J36" s="581"/>
      <c r="K36" s="581"/>
      <c r="L36" s="581"/>
      <c r="M36" s="581"/>
      <c r="N36" s="581"/>
      <c r="O36" s="581"/>
      <c r="P36" s="581"/>
      <c r="Q36" s="582"/>
      <c r="S36" s="421"/>
      <c r="T36" s="421"/>
      <c r="U36" s="421"/>
      <c r="V36" s="421"/>
      <c r="W36" s="421"/>
      <c r="X36" s="421"/>
      <c r="Y36" s="421"/>
      <c r="Z36" s="421"/>
      <c r="AA36" s="421"/>
      <c r="AB36" s="421"/>
      <c r="AC36" s="421"/>
      <c r="AD36" s="421"/>
      <c r="AE36" s="421"/>
      <c r="AF36" s="421"/>
      <c r="AG36" s="421"/>
      <c r="AH36" s="421"/>
      <c r="AI36" s="421"/>
    </row>
    <row r="37" spans="1:35" x14ac:dyDescent="0.25">
      <c r="A37" s="421"/>
      <c r="C37" s="580"/>
      <c r="D37" s="581"/>
      <c r="E37" s="581"/>
      <c r="F37" s="581"/>
      <c r="G37" s="581"/>
      <c r="H37" s="581"/>
      <c r="I37" s="581"/>
      <c r="J37" s="581"/>
      <c r="K37" s="581"/>
      <c r="L37" s="581"/>
      <c r="M37" s="581"/>
      <c r="N37" s="581"/>
      <c r="O37" s="581"/>
      <c r="P37" s="581"/>
      <c r="Q37" s="582"/>
      <c r="S37" s="421"/>
      <c r="T37" s="421"/>
      <c r="U37" s="421"/>
      <c r="V37" s="421"/>
      <c r="W37" s="421"/>
      <c r="X37" s="421"/>
      <c r="Y37" s="421"/>
      <c r="Z37" s="421"/>
      <c r="AA37" s="421"/>
      <c r="AB37" s="421"/>
      <c r="AC37" s="421"/>
      <c r="AD37" s="421"/>
      <c r="AE37" s="421"/>
      <c r="AF37" s="421"/>
      <c r="AG37" s="421"/>
      <c r="AH37" s="421"/>
      <c r="AI37" s="421"/>
    </row>
    <row r="38" spans="1:35" x14ac:dyDescent="0.25">
      <c r="A38" s="421"/>
      <c r="C38" s="580"/>
      <c r="D38" s="581"/>
      <c r="E38" s="581"/>
      <c r="F38" s="581"/>
      <c r="G38" s="581"/>
      <c r="H38" s="581"/>
      <c r="I38" s="581"/>
      <c r="J38" s="581"/>
      <c r="K38" s="581"/>
      <c r="L38" s="581"/>
      <c r="M38" s="581"/>
      <c r="N38" s="581"/>
      <c r="O38" s="581"/>
      <c r="P38" s="581"/>
      <c r="Q38" s="582"/>
      <c r="S38" s="421"/>
      <c r="T38" s="421"/>
      <c r="U38" s="421"/>
      <c r="V38" s="421"/>
      <c r="W38" s="421"/>
      <c r="X38" s="421"/>
      <c r="Y38" s="421"/>
      <c r="Z38" s="421"/>
      <c r="AA38" s="421"/>
      <c r="AB38" s="421"/>
      <c r="AC38" s="421"/>
      <c r="AD38" s="421"/>
      <c r="AE38" s="421"/>
      <c r="AF38" s="421"/>
      <c r="AG38" s="421"/>
      <c r="AH38" s="421"/>
      <c r="AI38" s="421"/>
    </row>
    <row r="39" spans="1:35" x14ac:dyDescent="0.25">
      <c r="A39" s="421"/>
      <c r="C39" s="580"/>
      <c r="D39" s="581"/>
      <c r="E39" s="581"/>
      <c r="F39" s="581"/>
      <c r="G39" s="581"/>
      <c r="H39" s="581"/>
      <c r="I39" s="581"/>
      <c r="J39" s="581"/>
      <c r="K39" s="581"/>
      <c r="L39" s="581"/>
      <c r="M39" s="581"/>
      <c r="N39" s="581"/>
      <c r="O39" s="581"/>
      <c r="P39" s="581"/>
      <c r="Q39" s="582"/>
      <c r="S39" s="421"/>
      <c r="T39" s="421"/>
      <c r="U39" s="421"/>
      <c r="V39" s="421"/>
      <c r="W39" s="421"/>
      <c r="X39" s="421"/>
      <c r="Y39" s="421"/>
      <c r="Z39" s="421"/>
      <c r="AA39" s="421"/>
      <c r="AB39" s="421"/>
      <c r="AC39" s="421"/>
      <c r="AD39" s="421"/>
      <c r="AE39" s="421"/>
      <c r="AF39" s="421"/>
      <c r="AG39" s="421"/>
      <c r="AH39" s="421"/>
      <c r="AI39" s="421"/>
    </row>
    <row r="40" spans="1:35" x14ac:dyDescent="0.25">
      <c r="A40" s="421"/>
      <c r="C40" s="580"/>
      <c r="D40" s="581"/>
      <c r="E40" s="581"/>
      <c r="F40" s="581"/>
      <c r="G40" s="581"/>
      <c r="H40" s="581"/>
      <c r="I40" s="581"/>
      <c r="J40" s="581"/>
      <c r="K40" s="581"/>
      <c r="L40" s="581"/>
      <c r="M40" s="581"/>
      <c r="N40" s="581"/>
      <c r="O40" s="581"/>
      <c r="P40" s="581"/>
      <c r="Q40" s="582"/>
      <c r="S40" s="421"/>
      <c r="T40" s="421"/>
      <c r="U40" s="421"/>
      <c r="V40" s="421"/>
      <c r="W40" s="421"/>
      <c r="X40" s="421"/>
      <c r="Y40" s="421"/>
      <c r="Z40" s="421"/>
      <c r="AA40" s="421"/>
      <c r="AB40" s="421"/>
      <c r="AC40" s="421"/>
      <c r="AD40" s="421"/>
      <c r="AE40" s="421"/>
      <c r="AF40" s="421"/>
      <c r="AG40" s="421"/>
      <c r="AH40" s="421"/>
      <c r="AI40" s="421"/>
    </row>
    <row r="41" spans="1:35" x14ac:dyDescent="0.25">
      <c r="A41" s="421"/>
      <c r="C41" s="580"/>
      <c r="D41" s="581"/>
      <c r="E41" s="581"/>
      <c r="F41" s="581"/>
      <c r="G41" s="581"/>
      <c r="H41" s="581"/>
      <c r="I41" s="581"/>
      <c r="J41" s="581"/>
      <c r="K41" s="581"/>
      <c r="L41" s="581"/>
      <c r="M41" s="581"/>
      <c r="N41" s="581"/>
      <c r="O41" s="581"/>
      <c r="P41" s="581"/>
      <c r="Q41" s="582"/>
      <c r="S41" s="421"/>
      <c r="T41" s="421"/>
      <c r="U41" s="421"/>
      <c r="V41" s="421"/>
      <c r="W41" s="421"/>
      <c r="X41" s="421"/>
      <c r="Y41" s="421"/>
      <c r="Z41" s="421"/>
      <c r="AA41" s="421"/>
      <c r="AB41" s="421"/>
      <c r="AC41" s="421"/>
      <c r="AD41" s="421"/>
      <c r="AE41" s="421"/>
      <c r="AF41" s="421"/>
      <c r="AG41" s="421"/>
      <c r="AH41" s="421"/>
      <c r="AI41" s="421"/>
    </row>
    <row r="42" spans="1:35" x14ac:dyDescent="0.25">
      <c r="A42" s="421"/>
      <c r="C42" s="580"/>
      <c r="D42" s="581"/>
      <c r="E42" s="581"/>
      <c r="F42" s="581"/>
      <c r="G42" s="581"/>
      <c r="H42" s="581"/>
      <c r="I42" s="581"/>
      <c r="J42" s="581"/>
      <c r="K42" s="581"/>
      <c r="L42" s="581"/>
      <c r="M42" s="581"/>
      <c r="N42" s="581"/>
      <c r="O42" s="581"/>
      <c r="P42" s="581"/>
      <c r="Q42" s="582"/>
      <c r="S42" s="421"/>
      <c r="T42" s="421"/>
      <c r="U42" s="421"/>
      <c r="V42" s="421"/>
      <c r="W42" s="421"/>
      <c r="X42" s="421"/>
      <c r="Y42" s="421"/>
      <c r="Z42" s="421"/>
      <c r="AA42" s="421"/>
      <c r="AB42" s="421"/>
      <c r="AC42" s="421"/>
      <c r="AD42" s="421"/>
      <c r="AE42" s="421"/>
      <c r="AF42" s="421"/>
      <c r="AG42" s="421"/>
      <c r="AH42" s="421"/>
      <c r="AI42" s="421"/>
    </row>
    <row r="43" spans="1:35" x14ac:dyDescent="0.25">
      <c r="A43" s="421"/>
      <c r="C43" s="580"/>
      <c r="D43" s="581"/>
      <c r="E43" s="581"/>
      <c r="F43" s="581"/>
      <c r="G43" s="581"/>
      <c r="H43" s="581"/>
      <c r="I43" s="581"/>
      <c r="J43" s="581"/>
      <c r="K43" s="581"/>
      <c r="L43" s="581"/>
      <c r="M43" s="581"/>
      <c r="N43" s="581"/>
      <c r="O43" s="581"/>
      <c r="P43" s="581"/>
      <c r="Q43" s="582"/>
      <c r="S43" s="421"/>
      <c r="T43" s="421"/>
      <c r="U43" s="421"/>
      <c r="V43" s="421"/>
      <c r="W43" s="421"/>
      <c r="X43" s="421"/>
      <c r="Y43" s="421"/>
      <c r="Z43" s="421"/>
      <c r="AA43" s="421"/>
      <c r="AB43" s="421"/>
      <c r="AC43" s="421"/>
      <c r="AD43" s="421"/>
      <c r="AE43" s="421"/>
      <c r="AF43" s="421"/>
      <c r="AG43" s="421"/>
      <c r="AH43" s="421"/>
      <c r="AI43" s="421"/>
    </row>
    <row r="44" spans="1:35" x14ac:dyDescent="0.25">
      <c r="A44" s="421"/>
      <c r="C44" s="580"/>
      <c r="D44" s="581"/>
      <c r="E44" s="581"/>
      <c r="F44" s="581"/>
      <c r="G44" s="581"/>
      <c r="H44" s="581"/>
      <c r="I44" s="581"/>
      <c r="J44" s="581"/>
      <c r="K44" s="581"/>
      <c r="L44" s="581"/>
      <c r="M44" s="581"/>
      <c r="N44" s="581"/>
      <c r="O44" s="581"/>
      <c r="P44" s="581"/>
      <c r="Q44" s="582"/>
      <c r="S44" s="421"/>
      <c r="T44" s="421"/>
      <c r="U44" s="421"/>
      <c r="V44" s="421"/>
      <c r="W44" s="421"/>
      <c r="X44" s="421"/>
      <c r="Y44" s="421"/>
      <c r="Z44" s="421"/>
      <c r="AA44" s="421"/>
      <c r="AB44" s="421"/>
      <c r="AC44" s="421"/>
      <c r="AD44" s="421"/>
      <c r="AE44" s="421"/>
      <c r="AF44" s="421"/>
      <c r="AG44" s="421"/>
      <c r="AH44" s="421"/>
      <c r="AI44" s="421"/>
    </row>
    <row r="45" spans="1:35" ht="22.5" customHeight="1" thickBot="1" x14ac:dyDescent="0.3">
      <c r="A45" s="421"/>
      <c r="C45" s="583"/>
      <c r="D45" s="584"/>
      <c r="E45" s="584"/>
      <c r="F45" s="584"/>
      <c r="G45" s="584"/>
      <c r="H45" s="584"/>
      <c r="I45" s="584"/>
      <c r="J45" s="584"/>
      <c r="K45" s="584"/>
      <c r="L45" s="584"/>
      <c r="M45" s="584"/>
      <c r="N45" s="584"/>
      <c r="O45" s="584"/>
      <c r="P45" s="584"/>
      <c r="Q45" s="585"/>
      <c r="S45" s="421"/>
      <c r="T45" s="421"/>
      <c r="U45" s="421"/>
      <c r="V45" s="421"/>
      <c r="W45" s="421"/>
      <c r="X45" s="421"/>
      <c r="Y45" s="421"/>
      <c r="Z45" s="421"/>
      <c r="AA45" s="421"/>
      <c r="AB45" s="421"/>
      <c r="AC45" s="421"/>
      <c r="AD45" s="421"/>
      <c r="AE45" s="421"/>
      <c r="AF45" s="421"/>
      <c r="AG45" s="421"/>
      <c r="AH45" s="421"/>
      <c r="AI45" s="421"/>
    </row>
    <row r="46" spans="1:35" ht="6" customHeight="1" thickBot="1" x14ac:dyDescent="0.3">
      <c r="A46" s="421"/>
      <c r="S46" s="421"/>
      <c r="T46" s="421"/>
      <c r="U46" s="421"/>
      <c r="V46" s="421"/>
      <c r="W46" s="421"/>
      <c r="X46" s="421"/>
      <c r="Y46" s="421"/>
      <c r="Z46" s="421"/>
      <c r="AA46" s="421"/>
      <c r="AB46" s="421"/>
      <c r="AC46" s="421"/>
      <c r="AD46" s="421"/>
      <c r="AE46" s="421"/>
      <c r="AF46" s="421"/>
      <c r="AG46" s="421"/>
      <c r="AH46" s="421"/>
      <c r="AI46" s="421"/>
    </row>
    <row r="47" spans="1:35" ht="24.75" customHeight="1" x14ac:dyDescent="0.25">
      <c r="A47" s="421"/>
      <c r="C47" s="576">
        <f>menu!B176</f>
        <v>0</v>
      </c>
      <c r="D47" s="577"/>
      <c r="E47" s="577"/>
      <c r="F47" s="577"/>
      <c r="G47" s="577"/>
      <c r="H47" s="577"/>
      <c r="I47" s="577"/>
      <c r="J47" s="577"/>
      <c r="K47" s="577"/>
      <c r="L47" s="577"/>
      <c r="M47" s="577"/>
      <c r="N47" s="577"/>
      <c r="O47" s="577"/>
      <c r="P47" s="577"/>
      <c r="Q47" s="578"/>
      <c r="S47" s="421"/>
      <c r="T47" s="421"/>
      <c r="U47" s="592"/>
      <c r="V47" s="592"/>
      <c r="W47" s="592"/>
      <c r="X47" s="592"/>
      <c r="Y47" s="592"/>
      <c r="Z47" s="592"/>
      <c r="AA47" s="592"/>
      <c r="AB47" s="592"/>
      <c r="AC47" s="592"/>
      <c r="AD47" s="592"/>
      <c r="AE47" s="592"/>
      <c r="AF47" s="592"/>
      <c r="AG47" s="592"/>
      <c r="AH47" s="592"/>
      <c r="AI47" s="592"/>
    </row>
    <row r="48" spans="1:35" ht="19.5" customHeight="1" x14ac:dyDescent="0.25">
      <c r="A48" s="421"/>
      <c r="C48" s="580"/>
      <c r="D48" s="581"/>
      <c r="E48" s="581"/>
      <c r="F48" s="581"/>
      <c r="G48" s="581"/>
      <c r="H48" s="581"/>
      <c r="I48" s="581"/>
      <c r="J48" s="581"/>
      <c r="K48" s="581"/>
      <c r="L48" s="581"/>
      <c r="M48" s="581"/>
      <c r="N48" s="581"/>
      <c r="O48" s="581"/>
      <c r="P48" s="581"/>
      <c r="Q48" s="582"/>
      <c r="S48" s="421"/>
      <c r="T48" s="421"/>
      <c r="U48" s="421"/>
      <c r="V48" s="421"/>
      <c r="W48" s="421"/>
      <c r="X48" s="421"/>
      <c r="Y48" s="421"/>
      <c r="Z48" s="421"/>
      <c r="AA48" s="421"/>
      <c r="AB48" s="421"/>
      <c r="AC48" s="421"/>
      <c r="AD48" s="421"/>
      <c r="AE48" s="421"/>
      <c r="AF48" s="421"/>
      <c r="AG48" s="421"/>
      <c r="AH48" s="421"/>
      <c r="AI48" s="421"/>
    </row>
    <row r="49" spans="1:35" ht="12" customHeight="1" x14ac:dyDescent="0.25">
      <c r="A49" s="421"/>
      <c r="C49" s="580"/>
      <c r="D49" s="581"/>
      <c r="E49" s="581"/>
      <c r="F49" s="581"/>
      <c r="G49" s="581"/>
      <c r="H49" s="581"/>
      <c r="I49" s="581"/>
      <c r="J49" s="581"/>
      <c r="K49" s="581"/>
      <c r="L49" s="581"/>
      <c r="M49" s="581"/>
      <c r="N49" s="581"/>
      <c r="O49" s="581"/>
      <c r="P49" s="581"/>
      <c r="Q49" s="582"/>
      <c r="S49" s="421"/>
      <c r="T49" s="421"/>
      <c r="U49" s="421"/>
      <c r="V49" s="421"/>
      <c r="W49" s="421"/>
      <c r="X49" s="421"/>
      <c r="Y49" s="421"/>
      <c r="Z49" s="421"/>
      <c r="AA49" s="421"/>
      <c r="AB49" s="421"/>
      <c r="AC49" s="421"/>
      <c r="AD49" s="421"/>
      <c r="AE49" s="421"/>
      <c r="AF49" s="421"/>
      <c r="AG49" s="421"/>
      <c r="AH49" s="421"/>
      <c r="AI49" s="421"/>
    </row>
    <row r="50" spans="1:35" x14ac:dyDescent="0.25">
      <c r="A50" s="421"/>
      <c r="C50" s="580"/>
      <c r="D50" s="581"/>
      <c r="E50" s="581"/>
      <c r="F50" s="581"/>
      <c r="G50" s="581"/>
      <c r="H50" s="581"/>
      <c r="I50" s="581"/>
      <c r="J50" s="581"/>
      <c r="K50" s="581"/>
      <c r="L50" s="581"/>
      <c r="M50" s="581"/>
      <c r="N50" s="581"/>
      <c r="O50" s="581"/>
      <c r="P50" s="581"/>
      <c r="Q50" s="582"/>
      <c r="S50" s="421"/>
      <c r="T50" s="421"/>
      <c r="U50" s="421"/>
      <c r="V50" s="421"/>
      <c r="W50" s="421"/>
      <c r="X50" s="421"/>
      <c r="Y50" s="421"/>
      <c r="Z50" s="421"/>
      <c r="AA50" s="421"/>
      <c r="AB50" s="421"/>
      <c r="AC50" s="421"/>
      <c r="AD50" s="421"/>
      <c r="AE50" s="421"/>
      <c r="AF50" s="421"/>
      <c r="AG50" s="421"/>
      <c r="AH50" s="421"/>
      <c r="AI50" s="421"/>
    </row>
    <row r="51" spans="1:35" ht="12" customHeight="1" x14ac:dyDescent="0.25">
      <c r="A51" s="421"/>
      <c r="C51" s="580"/>
      <c r="D51" s="581"/>
      <c r="E51" s="581"/>
      <c r="F51" s="581"/>
      <c r="G51" s="581"/>
      <c r="H51" s="581"/>
      <c r="I51" s="581"/>
      <c r="J51" s="581"/>
      <c r="K51" s="581"/>
      <c r="L51" s="581"/>
      <c r="M51" s="581"/>
      <c r="N51" s="581"/>
      <c r="O51" s="581"/>
      <c r="P51" s="581"/>
      <c r="Q51" s="582"/>
      <c r="S51" s="421"/>
      <c r="T51" s="421"/>
      <c r="U51" s="421"/>
      <c r="V51" s="421"/>
      <c r="W51" s="421"/>
      <c r="X51" s="421"/>
      <c r="Y51" s="421"/>
      <c r="Z51" s="421"/>
      <c r="AA51" s="421"/>
      <c r="AB51" s="421"/>
      <c r="AC51" s="421"/>
      <c r="AD51" s="421"/>
      <c r="AE51" s="421"/>
      <c r="AF51" s="421"/>
      <c r="AG51" s="421"/>
      <c r="AH51" s="421"/>
      <c r="AI51" s="421"/>
    </row>
    <row r="52" spans="1:35" x14ac:dyDescent="0.25">
      <c r="A52" s="421"/>
      <c r="C52" s="580"/>
      <c r="D52" s="581"/>
      <c r="E52" s="581"/>
      <c r="F52" s="581"/>
      <c r="G52" s="581"/>
      <c r="H52" s="581"/>
      <c r="I52" s="581"/>
      <c r="J52" s="581"/>
      <c r="K52" s="581"/>
      <c r="L52" s="581"/>
      <c r="M52" s="581"/>
      <c r="N52" s="581"/>
      <c r="O52" s="581"/>
      <c r="P52" s="581"/>
      <c r="Q52" s="582"/>
      <c r="S52" s="421"/>
      <c r="T52" s="421"/>
      <c r="U52" s="421"/>
      <c r="V52" s="421"/>
      <c r="W52" s="421"/>
      <c r="X52" s="421"/>
      <c r="Y52" s="421"/>
      <c r="Z52" s="421"/>
      <c r="AA52" s="421"/>
      <c r="AB52" s="421"/>
      <c r="AC52" s="421"/>
      <c r="AD52" s="421"/>
      <c r="AE52" s="421"/>
      <c r="AF52" s="421"/>
      <c r="AG52" s="421"/>
      <c r="AH52" s="421"/>
      <c r="AI52" s="421"/>
    </row>
    <row r="53" spans="1:35" x14ac:dyDescent="0.25">
      <c r="A53" s="421"/>
      <c r="C53" s="580"/>
      <c r="D53" s="581"/>
      <c r="E53" s="581"/>
      <c r="F53" s="581"/>
      <c r="G53" s="581"/>
      <c r="H53" s="581"/>
      <c r="I53" s="581"/>
      <c r="J53" s="581"/>
      <c r="K53" s="581"/>
      <c r="L53" s="581"/>
      <c r="M53" s="581"/>
      <c r="N53" s="581"/>
      <c r="O53" s="581"/>
      <c r="P53" s="581"/>
      <c r="Q53" s="582"/>
      <c r="S53" s="421"/>
      <c r="T53" s="421"/>
      <c r="U53" s="421"/>
      <c r="V53" s="421"/>
      <c r="W53" s="421"/>
      <c r="X53" s="421"/>
      <c r="Y53" s="421"/>
      <c r="Z53" s="421"/>
      <c r="AA53" s="421"/>
      <c r="AB53" s="421"/>
      <c r="AC53" s="421"/>
      <c r="AD53" s="421"/>
      <c r="AE53" s="421"/>
      <c r="AF53" s="421"/>
      <c r="AG53" s="421"/>
      <c r="AH53" s="421"/>
      <c r="AI53" s="421"/>
    </row>
    <row r="54" spans="1:35" x14ac:dyDescent="0.25">
      <c r="A54" s="421"/>
      <c r="C54" s="580"/>
      <c r="D54" s="581"/>
      <c r="E54" s="581"/>
      <c r="F54" s="581"/>
      <c r="G54" s="581"/>
      <c r="H54" s="581"/>
      <c r="I54" s="581"/>
      <c r="J54" s="581"/>
      <c r="K54" s="581"/>
      <c r="L54" s="581"/>
      <c r="M54" s="581"/>
      <c r="N54" s="581"/>
      <c r="O54" s="581"/>
      <c r="P54" s="581"/>
      <c r="Q54" s="582"/>
      <c r="S54" s="421"/>
      <c r="T54" s="421"/>
      <c r="U54" s="421"/>
      <c r="V54" s="421"/>
      <c r="W54" s="421"/>
      <c r="X54" s="421"/>
      <c r="Y54" s="421"/>
      <c r="Z54" s="421"/>
      <c r="AA54" s="421"/>
      <c r="AB54" s="421"/>
      <c r="AC54" s="421"/>
      <c r="AD54" s="421"/>
      <c r="AE54" s="421"/>
      <c r="AF54" s="421"/>
      <c r="AG54" s="421"/>
      <c r="AH54" s="421"/>
      <c r="AI54" s="421"/>
    </row>
    <row r="55" spans="1:35" x14ac:dyDescent="0.25">
      <c r="A55" s="421"/>
      <c r="C55" s="580"/>
      <c r="D55" s="581"/>
      <c r="E55" s="581"/>
      <c r="F55" s="581"/>
      <c r="G55" s="581"/>
      <c r="H55" s="581"/>
      <c r="I55" s="581"/>
      <c r="J55" s="581"/>
      <c r="K55" s="581"/>
      <c r="L55" s="581"/>
      <c r="M55" s="581"/>
      <c r="N55" s="581"/>
      <c r="O55" s="581"/>
      <c r="P55" s="581"/>
      <c r="Q55" s="582"/>
      <c r="S55" s="421"/>
      <c r="T55" s="421"/>
      <c r="U55" s="421"/>
      <c r="V55" s="421"/>
      <c r="W55" s="421"/>
      <c r="X55" s="421"/>
      <c r="Y55" s="421"/>
      <c r="Z55" s="421"/>
      <c r="AA55" s="421"/>
      <c r="AB55" s="421"/>
      <c r="AC55" s="421"/>
      <c r="AD55" s="421"/>
      <c r="AE55" s="421"/>
      <c r="AF55" s="421"/>
      <c r="AG55" s="421"/>
      <c r="AH55" s="421"/>
      <c r="AI55" s="421"/>
    </row>
    <row r="56" spans="1:35" x14ac:dyDescent="0.25">
      <c r="A56" s="421"/>
      <c r="C56" s="580"/>
      <c r="D56" s="581"/>
      <c r="E56" s="581"/>
      <c r="F56" s="581"/>
      <c r="G56" s="581"/>
      <c r="H56" s="581"/>
      <c r="I56" s="581"/>
      <c r="J56" s="581"/>
      <c r="K56" s="581"/>
      <c r="L56" s="581"/>
      <c r="M56" s="581"/>
      <c r="N56" s="581"/>
      <c r="O56" s="581"/>
      <c r="P56" s="581"/>
      <c r="Q56" s="582"/>
      <c r="S56" s="421"/>
      <c r="T56" s="421"/>
      <c r="U56" s="421"/>
      <c r="V56" s="421"/>
      <c r="W56" s="421"/>
      <c r="X56" s="421"/>
      <c r="Y56" s="421"/>
      <c r="Z56" s="421"/>
      <c r="AA56" s="421"/>
      <c r="AB56" s="421"/>
      <c r="AC56" s="421"/>
      <c r="AD56" s="421"/>
      <c r="AE56" s="421"/>
      <c r="AF56" s="421"/>
      <c r="AG56" s="421"/>
      <c r="AH56" s="421"/>
      <c r="AI56" s="421"/>
    </row>
    <row r="57" spans="1:35" x14ac:dyDescent="0.25">
      <c r="A57" s="421"/>
      <c r="C57" s="580"/>
      <c r="D57" s="581"/>
      <c r="E57" s="581"/>
      <c r="F57" s="581"/>
      <c r="G57" s="581"/>
      <c r="H57" s="581"/>
      <c r="I57" s="581"/>
      <c r="J57" s="581"/>
      <c r="K57" s="581"/>
      <c r="L57" s="581"/>
      <c r="M57" s="581"/>
      <c r="N57" s="581"/>
      <c r="O57" s="581"/>
      <c r="P57" s="581"/>
      <c r="Q57" s="582"/>
      <c r="S57" s="421"/>
      <c r="T57" s="421"/>
      <c r="U57" s="421"/>
      <c r="V57" s="421"/>
      <c r="W57" s="421"/>
      <c r="X57" s="421"/>
      <c r="Y57" s="421"/>
      <c r="Z57" s="421"/>
      <c r="AA57" s="421"/>
      <c r="AB57" s="421"/>
      <c r="AC57" s="421"/>
      <c r="AD57" s="421"/>
      <c r="AE57" s="421"/>
      <c r="AF57" s="421"/>
      <c r="AG57" s="421"/>
      <c r="AH57" s="421"/>
      <c r="AI57" s="421"/>
    </row>
    <row r="58" spans="1:35" x14ac:dyDescent="0.25">
      <c r="A58" s="421"/>
      <c r="C58" s="580"/>
      <c r="D58" s="581"/>
      <c r="E58" s="581"/>
      <c r="F58" s="581"/>
      <c r="G58" s="581"/>
      <c r="H58" s="581"/>
      <c r="I58" s="581"/>
      <c r="J58" s="581"/>
      <c r="K58" s="581"/>
      <c r="L58" s="581"/>
      <c r="M58" s="581"/>
      <c r="N58" s="581"/>
      <c r="O58" s="581"/>
      <c r="P58" s="581"/>
      <c r="Q58" s="582"/>
      <c r="S58" s="421"/>
      <c r="T58" s="421"/>
      <c r="U58" s="421"/>
      <c r="V58" s="421"/>
      <c r="W58" s="421"/>
      <c r="X58" s="421"/>
      <c r="Y58" s="421"/>
      <c r="Z58" s="421"/>
      <c r="AA58" s="421"/>
      <c r="AB58" s="421"/>
      <c r="AC58" s="421"/>
      <c r="AD58" s="421"/>
      <c r="AE58" s="421"/>
      <c r="AF58" s="421"/>
      <c r="AG58" s="421"/>
      <c r="AH58" s="421"/>
      <c r="AI58" s="421"/>
    </row>
    <row r="59" spans="1:35" x14ac:dyDescent="0.25">
      <c r="A59" s="421"/>
      <c r="C59" s="580"/>
      <c r="D59" s="581"/>
      <c r="E59" s="581"/>
      <c r="F59" s="581"/>
      <c r="G59" s="581"/>
      <c r="H59" s="581"/>
      <c r="I59" s="581"/>
      <c r="J59" s="581"/>
      <c r="K59" s="581"/>
      <c r="L59" s="581"/>
      <c r="M59" s="581"/>
      <c r="N59" s="581"/>
      <c r="O59" s="581"/>
      <c r="P59" s="581"/>
      <c r="Q59" s="582"/>
      <c r="S59" s="421"/>
      <c r="T59" s="421"/>
      <c r="U59" s="421"/>
      <c r="V59" s="421"/>
      <c r="W59" s="421"/>
      <c r="X59" s="421"/>
      <c r="Y59" s="421"/>
      <c r="Z59" s="421"/>
      <c r="AA59" s="421"/>
      <c r="AB59" s="421"/>
      <c r="AC59" s="421"/>
      <c r="AD59" s="421"/>
      <c r="AE59" s="421"/>
      <c r="AF59" s="421"/>
      <c r="AG59" s="421"/>
      <c r="AH59" s="421"/>
      <c r="AI59" s="421"/>
    </row>
    <row r="60" spans="1:35" x14ac:dyDescent="0.25">
      <c r="A60" s="421"/>
      <c r="C60" s="580"/>
      <c r="D60" s="581"/>
      <c r="E60" s="581"/>
      <c r="F60" s="581"/>
      <c r="G60" s="581"/>
      <c r="H60" s="581"/>
      <c r="I60" s="581"/>
      <c r="J60" s="581"/>
      <c r="K60" s="581"/>
      <c r="L60" s="581"/>
      <c r="M60" s="581"/>
      <c r="N60" s="581"/>
      <c r="O60" s="581"/>
      <c r="P60" s="581"/>
      <c r="Q60" s="582"/>
      <c r="S60" s="421"/>
      <c r="T60" s="421"/>
      <c r="U60" s="421"/>
      <c r="V60" s="421"/>
      <c r="W60" s="421"/>
      <c r="X60" s="421"/>
      <c r="Y60" s="421"/>
      <c r="Z60" s="421"/>
      <c r="AA60" s="421"/>
      <c r="AB60" s="421"/>
      <c r="AC60" s="421"/>
      <c r="AD60" s="421"/>
      <c r="AE60" s="421"/>
      <c r="AF60" s="421"/>
      <c r="AG60" s="421"/>
      <c r="AH60" s="421"/>
      <c r="AI60" s="421"/>
    </row>
    <row r="61" spans="1:35" x14ac:dyDescent="0.25">
      <c r="A61" s="421"/>
      <c r="C61" s="580"/>
      <c r="D61" s="581"/>
      <c r="E61" s="581"/>
      <c r="F61" s="581"/>
      <c r="G61" s="581"/>
      <c r="H61" s="581"/>
      <c r="I61" s="581"/>
      <c r="J61" s="581"/>
      <c r="K61" s="581"/>
      <c r="L61" s="581"/>
      <c r="M61" s="581"/>
      <c r="N61" s="581"/>
      <c r="O61" s="581"/>
      <c r="P61" s="581"/>
      <c r="Q61" s="582"/>
      <c r="S61" s="421"/>
      <c r="T61" s="421"/>
      <c r="U61" s="421"/>
      <c r="V61" s="421"/>
      <c r="W61" s="421"/>
      <c r="X61" s="421"/>
      <c r="Y61" s="421"/>
      <c r="Z61" s="421"/>
      <c r="AA61" s="421"/>
      <c r="AB61" s="421"/>
      <c r="AC61" s="421"/>
      <c r="AD61" s="421"/>
      <c r="AE61" s="421"/>
      <c r="AF61" s="421"/>
      <c r="AG61" s="421"/>
      <c r="AH61" s="421"/>
      <c r="AI61" s="421"/>
    </row>
    <row r="62" spans="1:35" x14ac:dyDescent="0.25">
      <c r="A62" s="421"/>
      <c r="C62" s="580"/>
      <c r="D62" s="581"/>
      <c r="E62" s="581"/>
      <c r="F62" s="581"/>
      <c r="G62" s="581"/>
      <c r="H62" s="581"/>
      <c r="I62" s="581"/>
      <c r="J62" s="581"/>
      <c r="K62" s="581"/>
      <c r="L62" s="581"/>
      <c r="M62" s="581"/>
      <c r="N62" s="581"/>
      <c r="O62" s="581"/>
      <c r="P62" s="581"/>
      <c r="Q62" s="582"/>
      <c r="S62" s="421"/>
      <c r="T62" s="421"/>
      <c r="U62" s="421"/>
      <c r="V62" s="421"/>
      <c r="W62" s="421"/>
      <c r="X62" s="421"/>
      <c r="Y62" s="421"/>
      <c r="Z62" s="421"/>
      <c r="AA62" s="421"/>
      <c r="AB62" s="421"/>
      <c r="AC62" s="421"/>
      <c r="AD62" s="421"/>
      <c r="AE62" s="421"/>
      <c r="AF62" s="421"/>
      <c r="AG62" s="421"/>
      <c r="AH62" s="421"/>
      <c r="AI62" s="421"/>
    </row>
    <row r="63" spans="1:35" ht="22.5" customHeight="1" thickBot="1" x14ac:dyDescent="0.3">
      <c r="A63" s="421"/>
      <c r="C63" s="583"/>
      <c r="D63" s="584"/>
      <c r="E63" s="584"/>
      <c r="F63" s="584"/>
      <c r="G63" s="584"/>
      <c r="H63" s="584"/>
      <c r="I63" s="584"/>
      <c r="J63" s="584"/>
      <c r="K63" s="584"/>
      <c r="L63" s="584"/>
      <c r="M63" s="584"/>
      <c r="N63" s="584"/>
      <c r="O63" s="584"/>
      <c r="P63" s="584"/>
      <c r="Q63" s="585"/>
      <c r="S63" s="421"/>
      <c r="T63" s="421"/>
      <c r="U63" s="421"/>
      <c r="V63" s="421"/>
      <c r="W63" s="421"/>
      <c r="X63" s="421"/>
      <c r="Y63" s="421"/>
      <c r="Z63" s="421"/>
      <c r="AA63" s="421"/>
      <c r="AB63" s="421"/>
      <c r="AC63" s="421"/>
      <c r="AD63" s="421"/>
      <c r="AE63" s="421"/>
      <c r="AF63" s="421"/>
      <c r="AG63" s="421"/>
      <c r="AH63" s="421"/>
      <c r="AI63" s="421"/>
    </row>
    <row r="64" spans="1:35" x14ac:dyDescent="0.25">
      <c r="A64" s="421"/>
      <c r="S64" s="421"/>
      <c r="T64" s="421"/>
      <c r="U64" s="421"/>
      <c r="V64" s="421"/>
      <c r="W64" s="421"/>
      <c r="X64" s="421"/>
      <c r="Y64" s="421"/>
      <c r="Z64" s="421"/>
      <c r="AA64" s="421"/>
      <c r="AB64" s="421"/>
      <c r="AC64" s="421"/>
      <c r="AD64" s="421"/>
      <c r="AE64" s="421"/>
      <c r="AF64" s="421"/>
      <c r="AG64" s="421"/>
      <c r="AH64" s="421"/>
      <c r="AI64" s="421"/>
    </row>
    <row r="65" spans="1:35" x14ac:dyDescent="0.25">
      <c r="A65" s="421"/>
      <c r="C65" s="561" t="str">
        <f>Basisdaten!C46</f>
        <v>Vorhabenbeschreibung 
4.1.10 a): Erstellung eines 
Fokuskonzeptes 2509_V3</v>
      </c>
      <c r="D65" s="561"/>
      <c r="E65" s="561"/>
      <c r="F65" s="561"/>
      <c r="G65" s="561"/>
      <c r="H65" s="561"/>
      <c r="I65" s="561"/>
      <c r="J65" s="561"/>
      <c r="K65" s="561"/>
      <c r="L65" s="561"/>
      <c r="M65" s="561"/>
      <c r="N65" s="561"/>
      <c r="O65" s="561"/>
      <c r="P65" s="561"/>
      <c r="Q65" s="561"/>
      <c r="S65" s="421"/>
      <c r="T65" s="421"/>
      <c r="U65" s="421"/>
      <c r="V65" s="421"/>
      <c r="W65" s="421"/>
      <c r="X65" s="421"/>
      <c r="Y65" s="421"/>
      <c r="Z65" s="421"/>
      <c r="AA65" s="421"/>
      <c r="AB65" s="421"/>
      <c r="AC65" s="421"/>
      <c r="AD65" s="421"/>
      <c r="AE65" s="421"/>
      <c r="AF65" s="421"/>
      <c r="AG65" s="421"/>
      <c r="AH65" s="421"/>
      <c r="AI65" s="421"/>
    </row>
    <row r="66" spans="1:35" x14ac:dyDescent="0.25">
      <c r="A66" s="421"/>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row>
    <row r="67" spans="1:35" x14ac:dyDescent="0.25">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row>
    <row r="68" spans="1:35" x14ac:dyDescent="0.25">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row>
    <row r="69" spans="1:35" x14ac:dyDescent="0.25">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c r="AI69" s="421"/>
    </row>
    <row r="70" spans="1:35" x14ac:dyDescent="0.25">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row>
    <row r="71" spans="1:35" x14ac:dyDescent="0.25">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row>
    <row r="72" spans="1:35" x14ac:dyDescent="0.25">
      <c r="A72" s="421"/>
      <c r="B72" s="421"/>
      <c r="C72" s="421"/>
      <c r="D72" s="421"/>
      <c r="E72" s="421"/>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row>
    <row r="73" spans="1:35" x14ac:dyDescent="0.25">
      <c r="A73" s="421"/>
      <c r="B73" s="421"/>
      <c r="C73" s="421"/>
      <c r="D73" s="42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row>
    <row r="74" spans="1:35" x14ac:dyDescent="0.25">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row>
    <row r="75" spans="1:35" x14ac:dyDescent="0.25">
      <c r="A75" s="421"/>
      <c r="B75" s="421"/>
      <c r="C75" s="421"/>
      <c r="D75" s="42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row>
    <row r="76" spans="1:35" x14ac:dyDescent="0.25">
      <c r="A76" s="421"/>
      <c r="B76" s="421"/>
      <c r="C76" s="421"/>
      <c r="D76" s="421"/>
      <c r="E76" s="421"/>
      <c r="F76" s="421"/>
      <c r="G76" s="421"/>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row>
    <row r="77" spans="1:35" x14ac:dyDescent="0.25">
      <c r="A77" s="421"/>
      <c r="B77" s="421"/>
      <c r="C77" s="421"/>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row>
    <row r="78" spans="1:35" x14ac:dyDescent="0.25">
      <c r="A78" s="421"/>
      <c r="B78" s="421"/>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row>
    <row r="79" spans="1:35" x14ac:dyDescent="0.25">
      <c r="A79" s="421"/>
      <c r="B79" s="421"/>
      <c r="C79" s="421"/>
      <c r="D79" s="421"/>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row>
    <row r="80" spans="1:35" x14ac:dyDescent="0.25">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row>
    <row r="81" spans="1:35" x14ac:dyDescent="0.25">
      <c r="A81" s="421"/>
      <c r="B81" s="421"/>
      <c r="C81" s="421"/>
      <c r="D81" s="421"/>
      <c r="E81" s="421"/>
      <c r="F81" s="421"/>
      <c r="G81" s="421"/>
      <c r="H81" s="421"/>
      <c r="I81" s="421"/>
      <c r="J81" s="421"/>
      <c r="K81" s="421"/>
      <c r="L81" s="421"/>
      <c r="M81" s="421"/>
      <c r="N81" s="421"/>
      <c r="O81" s="421"/>
      <c r="P81" s="421"/>
      <c r="Q81" s="421"/>
      <c r="R81" s="421"/>
      <c r="S81" s="421"/>
      <c r="T81" s="421"/>
      <c r="U81" s="421"/>
      <c r="V81" s="421"/>
      <c r="W81" s="421"/>
      <c r="X81" s="421"/>
      <c r="Y81" s="421"/>
      <c r="Z81" s="421"/>
      <c r="AA81" s="421"/>
      <c r="AB81" s="421"/>
      <c r="AC81" s="421"/>
      <c r="AD81" s="421"/>
      <c r="AE81" s="421"/>
      <c r="AF81" s="421"/>
      <c r="AG81" s="421"/>
      <c r="AH81" s="421"/>
      <c r="AI81" s="421"/>
    </row>
    <row r="82" spans="1:35" x14ac:dyDescent="0.25">
      <c r="A82" s="421"/>
      <c r="B82" s="421"/>
      <c r="C82" s="421"/>
      <c r="D82" s="421"/>
      <c r="E82" s="421"/>
      <c r="F82" s="421"/>
      <c r="G82" s="421"/>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1"/>
      <c r="AG82" s="421"/>
      <c r="AH82" s="421"/>
      <c r="AI82" s="421"/>
    </row>
    <row r="83" spans="1:35" x14ac:dyDescent="0.25">
      <c r="A83" s="421"/>
      <c r="B83" s="421"/>
      <c r="C83" s="421"/>
      <c r="D83" s="421"/>
      <c r="E83" s="421"/>
      <c r="F83" s="421"/>
      <c r="G83" s="421"/>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1"/>
      <c r="AG83" s="421"/>
      <c r="AH83" s="421"/>
      <c r="AI83" s="421"/>
    </row>
    <row r="84" spans="1:35" x14ac:dyDescent="0.25">
      <c r="A84" s="421"/>
      <c r="B84" s="421"/>
      <c r="C84" s="421"/>
      <c r="D84" s="421"/>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1"/>
      <c r="AG84" s="421"/>
      <c r="AH84" s="421"/>
      <c r="AI84" s="421"/>
    </row>
    <row r="85" spans="1:35" x14ac:dyDescent="0.25">
      <c r="A85" s="421"/>
      <c r="B85" s="421"/>
      <c r="C85" s="421"/>
      <c r="D85" s="421"/>
      <c r="E85" s="421"/>
      <c r="F85" s="421"/>
      <c r="G85" s="421"/>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21"/>
      <c r="AG85" s="421"/>
      <c r="AH85" s="421"/>
      <c r="AI85" s="421"/>
    </row>
    <row r="86" spans="1:35" x14ac:dyDescent="0.25">
      <c r="A86" s="421"/>
      <c r="B86" s="421"/>
      <c r="C86" s="421"/>
      <c r="D86" s="421"/>
      <c r="E86" s="421"/>
      <c r="F86" s="421"/>
      <c r="G86" s="421"/>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F86" s="421"/>
      <c r="AG86" s="421"/>
      <c r="AH86" s="421"/>
      <c r="AI86" s="421"/>
    </row>
    <row r="87" spans="1:35" x14ac:dyDescent="0.25">
      <c r="A87" s="421"/>
      <c r="B87" s="421"/>
      <c r="C87" s="421"/>
      <c r="D87" s="421"/>
      <c r="E87" s="421"/>
      <c r="F87" s="421"/>
      <c r="G87" s="421"/>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1"/>
      <c r="AG87" s="421"/>
      <c r="AH87" s="421"/>
      <c r="AI87" s="421"/>
    </row>
    <row r="88" spans="1:35" x14ac:dyDescent="0.25">
      <c r="A88" s="421"/>
      <c r="B88" s="421"/>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row>
    <row r="89" spans="1:35" x14ac:dyDescent="0.25">
      <c r="A89" s="421"/>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row>
    <row r="90" spans="1:35" x14ac:dyDescent="0.25">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row>
    <row r="91" spans="1:35" x14ac:dyDescent="0.25">
      <c r="A91" s="421"/>
      <c r="B91" s="421"/>
      <c r="C91" s="421"/>
      <c r="D91" s="421"/>
      <c r="E91" s="421"/>
      <c r="F91" s="421"/>
      <c r="G91" s="421"/>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row>
    <row r="92" spans="1:35" x14ac:dyDescent="0.25">
      <c r="A92" s="421"/>
      <c r="B92" s="421"/>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row>
    <row r="93" spans="1:35" x14ac:dyDescent="0.25">
      <c r="A93" s="421"/>
      <c r="B93" s="421"/>
      <c r="C93" s="421"/>
      <c r="D93" s="421"/>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row>
    <row r="94" spans="1:35" x14ac:dyDescent="0.25">
      <c r="A94" s="421"/>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row>
    <row r="95" spans="1:35" x14ac:dyDescent="0.25">
      <c r="A95" s="421"/>
      <c r="B95" s="421"/>
      <c r="C95" s="421"/>
      <c r="D95" s="421"/>
      <c r="E95" s="421"/>
      <c r="F95" s="421"/>
      <c r="G95" s="421"/>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row>
    <row r="96" spans="1:35" x14ac:dyDescent="0.25">
      <c r="A96" s="421"/>
      <c r="B96" s="421"/>
      <c r="C96" s="421"/>
      <c r="D96" s="421"/>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row>
    <row r="97" spans="1:35" x14ac:dyDescent="0.25">
      <c r="A97" s="421"/>
      <c r="B97" s="421"/>
      <c r="C97" s="421"/>
      <c r="D97" s="421"/>
      <c r="E97" s="421"/>
      <c r="F97" s="421"/>
      <c r="G97" s="421"/>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row>
    <row r="98" spans="1:35" x14ac:dyDescent="0.25">
      <c r="A98" s="421"/>
      <c r="B98" s="421"/>
      <c r="C98" s="421"/>
      <c r="D98" s="421"/>
      <c r="E98" s="421"/>
      <c r="F98" s="421"/>
      <c r="G98" s="421"/>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row>
    <row r="99" spans="1:35" x14ac:dyDescent="0.25">
      <c r="A99" s="421"/>
      <c r="B99" s="421"/>
      <c r="C99" s="421"/>
      <c r="D99" s="421"/>
      <c r="E99" s="421"/>
      <c r="F99" s="421"/>
      <c r="G99" s="421"/>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row>
    <row r="100" spans="1:35" x14ac:dyDescent="0.25">
      <c r="A100" s="421"/>
      <c r="B100" s="421"/>
      <c r="C100" s="421"/>
      <c r="D100" s="421"/>
      <c r="E100" s="421"/>
      <c r="F100" s="421"/>
      <c r="G100" s="421"/>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t="s">
        <v>219</v>
      </c>
      <c r="AD100" s="421"/>
      <c r="AE100" s="421"/>
      <c r="AF100" s="421"/>
      <c r="AG100" s="421"/>
      <c r="AH100" s="421"/>
      <c r="AI100" s="421"/>
    </row>
  </sheetData>
  <sheetProtection algorithmName="SHA-512" hashValue="dUS3+eSaFqvvIEzFpHCPPKvDWoA6XoW4JV9TxG0xY5L7rtGS6deU7HRT18p0ajCAkd9ypnGJQu3cmBn4sMmHPw==" saltValue="7/F6lLeibqMAQL8PRwduoQ==" spinCount="100000" sheet="1" objects="1" scenarios="1"/>
  <mergeCells count="13">
    <mergeCell ref="C47:Q47"/>
    <mergeCell ref="U47:AI47"/>
    <mergeCell ref="C48:Q63"/>
    <mergeCell ref="C65:Q65"/>
    <mergeCell ref="C12:Q27"/>
    <mergeCell ref="U29:AI29"/>
    <mergeCell ref="C4:M4"/>
    <mergeCell ref="C11:Q11"/>
    <mergeCell ref="C5:M5"/>
    <mergeCell ref="C29:Q29"/>
    <mergeCell ref="C30:Q45"/>
    <mergeCell ref="C8:Q8"/>
    <mergeCell ref="C9:Q9"/>
  </mergeCells>
  <dataValidations count="2">
    <dataValidation type="textLength" operator="lessThan" allowBlank="1" showInputMessage="1" showErrorMessage="1" errorTitle="Achtung:" error="Maximal 1000 Buchstaben " sqref="C28:Q28" xr:uid="{00000000-0002-0000-0300-000000000000}">
      <formula1>1000</formula1>
    </dataValidation>
    <dataValidation type="textLength" operator="lessThan" allowBlank="1" showInputMessage="1" showErrorMessage="1" errorTitle="Achtung:" error="Maximale Textlänge überschritten" sqref="C48:Q63 C12:Q27 C30:Q45" xr:uid="{00000000-0002-0000-0300-000001000000}">
      <formula1>2100</formula1>
    </dataValidation>
  </dataValidations>
  <pageMargins left="0" right="0" top="0" bottom="0" header="0" footer="0"/>
  <pageSetup paperSize="9" scale="9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C1F7ED53-228F-4E29-BDCB-998F394E7AB0}">
            <xm:f>menu!$B$175=""</xm:f>
            <x14:dxf>
              <font>
                <color theme="0"/>
              </font>
              <fill>
                <patternFill>
                  <bgColor theme="0"/>
                </patternFill>
              </fill>
              <border>
                <left/>
                <right/>
                <top/>
                <bottom/>
                <vertical/>
                <horizontal/>
              </border>
            </x14:dxf>
          </x14:cfRule>
          <xm:sqref>C29:Q45</xm:sqref>
        </x14:conditionalFormatting>
        <x14:conditionalFormatting xmlns:xm="http://schemas.microsoft.com/office/excel/2006/main">
          <x14:cfRule type="expression" priority="1" id="{A441B6B8-4805-4CDC-8362-0769A68712CB}">
            <xm:f>menu!$B$176=""</xm:f>
            <x14:dxf>
              <font>
                <color theme="0"/>
              </font>
              <fill>
                <patternFill>
                  <bgColor theme="0"/>
                </patternFill>
              </fill>
              <border>
                <left/>
                <right/>
                <top/>
                <bottom/>
                <vertical/>
                <horizontal/>
              </border>
            </x14:dxf>
          </x14:cfRule>
          <xm:sqref>C47:Q63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2">
    <pageSetUpPr fitToPage="1"/>
  </sheetPr>
  <dimension ref="A1:AH71"/>
  <sheetViews>
    <sheetView showGridLines="0" showRowColHeaders="0" topLeftCell="A4" zoomScaleNormal="100" zoomScaleSheetLayoutView="100" workbookViewId="0">
      <selection activeCell="C9" sqref="C9:P10"/>
    </sheetView>
  </sheetViews>
  <sheetFormatPr baseColWidth="10" defaultColWidth="11.453125" defaultRowHeight="11.5" x14ac:dyDescent="0.25"/>
  <cols>
    <col min="1" max="1" width="2.54296875" style="1" customWidth="1"/>
    <col min="2" max="2" width="2.7265625" style="1" customWidth="1"/>
    <col min="3" max="3" width="2.54296875" style="1" customWidth="1"/>
    <col min="4" max="4" width="3.1796875" style="1" customWidth="1"/>
    <col min="5" max="5" width="3.7265625" style="1" customWidth="1"/>
    <col min="6" max="6" width="3.453125" style="1" customWidth="1"/>
    <col min="7" max="7" width="0.7265625" style="1" customWidth="1"/>
    <col min="8" max="8" width="9.453125" style="1" customWidth="1"/>
    <col min="9" max="9" width="13.54296875" style="1" customWidth="1"/>
    <col min="10" max="10" width="4.453125" style="1" customWidth="1"/>
    <col min="11" max="11" width="5.1796875" style="1" customWidth="1"/>
    <col min="12" max="13" width="5.7265625" style="1" customWidth="1"/>
    <col min="14" max="14" width="8.81640625" style="1" customWidth="1"/>
    <col min="15" max="15" width="17" style="1" customWidth="1"/>
    <col min="16" max="16" width="13.54296875" style="1" customWidth="1"/>
    <col min="17" max="17" width="2.7265625" style="1" customWidth="1"/>
    <col min="18" max="18" width="2.26953125" style="1" customWidth="1"/>
    <col min="19" max="19" width="21.54296875" style="1" customWidth="1"/>
    <col min="20" max="20" width="19.54296875" style="1" customWidth="1"/>
    <col min="21" max="16384" width="11.453125" style="1"/>
  </cols>
  <sheetData>
    <row r="1" spans="1:34" x14ac:dyDescent="0.25">
      <c r="A1" s="421" t="s">
        <v>219</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row>
    <row r="2" spans="1:34" ht="12.75" hidden="1" customHeight="1" x14ac:dyDescent="0.25">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row>
    <row r="3" spans="1:34" ht="12" customHeight="1" x14ac:dyDescent="0.25">
      <c r="A3" s="421"/>
      <c r="R3" s="421"/>
      <c r="S3" s="421"/>
      <c r="T3" s="421"/>
      <c r="U3" s="421"/>
      <c r="V3" s="421"/>
      <c r="W3" s="421"/>
      <c r="X3" s="421"/>
      <c r="Y3" s="421"/>
      <c r="Z3" s="421"/>
      <c r="AA3" s="421"/>
      <c r="AB3" s="421"/>
      <c r="AC3" s="421"/>
      <c r="AD3" s="421"/>
      <c r="AE3" s="421"/>
      <c r="AF3" s="421"/>
      <c r="AG3" s="421"/>
      <c r="AH3" s="421"/>
    </row>
    <row r="4" spans="1:34" s="4" customFormat="1" ht="57" customHeight="1" x14ac:dyDescent="0.25">
      <c r="A4" s="422"/>
      <c r="C4" s="533" t="str">
        <f>Basisdaten!C3</f>
        <v>Vorhabenbeschreibung 
4.1.10 a): Erstellung eines 
Fokuskonzeptes</v>
      </c>
      <c r="D4" s="533"/>
      <c r="E4" s="533"/>
      <c r="F4" s="533"/>
      <c r="G4" s="533"/>
      <c r="H4" s="533"/>
      <c r="I4" s="533"/>
      <c r="J4" s="533"/>
      <c r="K4" s="533"/>
      <c r="L4" s="533"/>
      <c r="M4" s="328"/>
      <c r="N4" s="1"/>
      <c r="O4" s="1"/>
      <c r="P4" s="1"/>
      <c r="Q4" s="1"/>
      <c r="R4" s="422"/>
      <c r="S4" s="422"/>
      <c r="T4" s="422"/>
      <c r="U4" s="422"/>
      <c r="V4" s="422"/>
      <c r="W4" s="422"/>
      <c r="X4" s="422"/>
      <c r="Y4" s="422"/>
      <c r="Z4" s="422"/>
      <c r="AA4" s="422"/>
      <c r="AB4" s="422"/>
      <c r="AC4" s="422"/>
      <c r="AD4" s="422"/>
      <c r="AE4" s="422"/>
      <c r="AF4" s="422"/>
      <c r="AG4" s="422"/>
      <c r="AH4" s="422"/>
    </row>
    <row r="5" spans="1:34" s="4" customFormat="1" ht="22.5" customHeight="1" x14ac:dyDescent="0.25">
      <c r="A5" s="422"/>
      <c r="C5" s="579" t="str">
        <f>Basisdaten!$C$6</f>
        <v/>
      </c>
      <c r="D5" s="579"/>
      <c r="E5" s="579"/>
      <c r="F5" s="579"/>
      <c r="G5" s="579"/>
      <c r="H5" s="579"/>
      <c r="I5" s="579"/>
      <c r="J5" s="579"/>
      <c r="K5" s="579"/>
      <c r="L5" s="579"/>
      <c r="M5" s="579"/>
      <c r="N5" s="1"/>
      <c r="O5" s="1"/>
      <c r="P5" s="1"/>
      <c r="Q5" s="1"/>
      <c r="R5" s="422"/>
      <c r="S5" s="422"/>
      <c r="T5" s="422"/>
      <c r="U5" s="422"/>
      <c r="V5" s="422"/>
      <c r="W5" s="422"/>
      <c r="X5" s="422"/>
      <c r="Y5" s="422"/>
      <c r="Z5" s="422"/>
      <c r="AA5" s="422"/>
      <c r="AB5" s="422"/>
      <c r="AC5" s="422"/>
      <c r="AD5" s="422"/>
      <c r="AE5" s="422"/>
      <c r="AF5" s="422"/>
      <c r="AG5" s="422"/>
      <c r="AH5" s="422"/>
    </row>
    <row r="6" spans="1:34" ht="16.5" customHeight="1" x14ac:dyDescent="0.25">
      <c r="A6" s="421"/>
      <c r="C6" s="593"/>
      <c r="D6" s="593"/>
      <c r="E6" s="593"/>
      <c r="F6" s="593"/>
      <c r="G6" s="593"/>
      <c r="H6" s="593"/>
      <c r="I6" s="593"/>
      <c r="J6" s="593"/>
      <c r="K6" s="593"/>
      <c r="L6" s="593"/>
      <c r="M6" s="593"/>
      <c r="N6" s="593"/>
      <c r="O6" s="593"/>
      <c r="P6" s="593"/>
      <c r="R6" s="421"/>
      <c r="S6" s="421"/>
      <c r="T6" s="431"/>
      <c r="U6" s="431"/>
      <c r="V6" s="431"/>
      <c r="W6" s="431"/>
      <c r="X6" s="431"/>
      <c r="Y6" s="431"/>
      <c r="Z6" s="431"/>
      <c r="AA6" s="431"/>
      <c r="AB6" s="431"/>
      <c r="AC6" s="431"/>
      <c r="AD6" s="431"/>
      <c r="AE6" s="431"/>
      <c r="AF6" s="431"/>
      <c r="AG6" s="431"/>
      <c r="AH6" s="431"/>
    </row>
    <row r="7" spans="1:34" ht="16.5" customHeight="1" thickBot="1" x14ac:dyDescent="0.3">
      <c r="A7" s="421"/>
      <c r="C7" s="353" t="s">
        <v>657</v>
      </c>
      <c r="D7" s="354"/>
      <c r="E7" s="354"/>
      <c r="F7" s="354"/>
      <c r="G7" s="354"/>
      <c r="H7" s="354"/>
      <c r="I7" s="354"/>
      <c r="J7" s="354"/>
      <c r="K7" s="354"/>
      <c r="L7" s="354"/>
      <c r="M7" s="354"/>
      <c r="N7" s="354"/>
      <c r="O7" s="354"/>
      <c r="P7" s="354"/>
      <c r="R7" s="421"/>
      <c r="S7" s="421"/>
      <c r="T7" s="431"/>
      <c r="U7" s="431"/>
      <c r="V7" s="431"/>
      <c r="W7" s="431"/>
      <c r="X7" s="431"/>
      <c r="Y7" s="431"/>
      <c r="Z7" s="431"/>
      <c r="AA7" s="431"/>
      <c r="AB7" s="431"/>
      <c r="AC7" s="431"/>
      <c r="AD7" s="431"/>
      <c r="AE7" s="431"/>
      <c r="AF7" s="431"/>
      <c r="AG7" s="431"/>
      <c r="AH7" s="431"/>
    </row>
    <row r="8" spans="1:34" ht="16.5" customHeight="1" x14ac:dyDescent="0.25">
      <c r="A8" s="421"/>
      <c r="C8" s="594" t="s">
        <v>665</v>
      </c>
      <c r="D8" s="595"/>
      <c r="E8" s="595"/>
      <c r="F8" s="595"/>
      <c r="G8" s="595"/>
      <c r="H8" s="595"/>
      <c r="I8" s="595"/>
      <c r="J8" s="595"/>
      <c r="K8" s="595"/>
      <c r="L8" s="595"/>
      <c r="M8" s="595"/>
      <c r="N8" s="595"/>
      <c r="O8" s="595"/>
      <c r="P8" s="596"/>
      <c r="R8" s="421"/>
      <c r="S8" s="421"/>
      <c r="T8" s="431"/>
      <c r="U8" s="431"/>
      <c r="V8" s="431"/>
      <c r="W8" s="431"/>
      <c r="X8" s="431"/>
      <c r="Y8" s="431"/>
      <c r="Z8" s="431"/>
      <c r="AA8" s="431"/>
      <c r="AB8" s="431"/>
      <c r="AC8" s="431"/>
      <c r="AD8" s="431"/>
      <c r="AE8" s="431"/>
      <c r="AF8" s="431"/>
      <c r="AG8" s="431"/>
      <c r="AH8" s="431"/>
    </row>
    <row r="9" spans="1:34" ht="409.5" customHeight="1" x14ac:dyDescent="0.25">
      <c r="A9" s="421"/>
      <c r="C9" s="597" t="str">
        <f>IF(Basisdaten!$I$27=menu!$A$103,Texte!C52,IF(Basisdaten!$I$27=menu!$A$104,Texte!A52,""))</f>
        <v/>
      </c>
      <c r="D9" s="598"/>
      <c r="E9" s="598"/>
      <c r="F9" s="598"/>
      <c r="G9" s="598"/>
      <c r="H9" s="598"/>
      <c r="I9" s="598"/>
      <c r="J9" s="598"/>
      <c r="K9" s="598"/>
      <c r="L9" s="598"/>
      <c r="M9" s="598"/>
      <c r="N9" s="598"/>
      <c r="O9" s="598"/>
      <c r="P9" s="599"/>
      <c r="R9" s="421"/>
      <c r="S9" s="421"/>
      <c r="T9" s="431"/>
      <c r="U9" s="431"/>
      <c r="V9" s="431"/>
      <c r="W9" s="431"/>
      <c r="X9" s="431"/>
      <c r="Y9" s="431"/>
      <c r="Z9" s="431"/>
      <c r="AA9" s="431"/>
      <c r="AB9" s="431"/>
      <c r="AC9" s="431"/>
      <c r="AD9" s="431"/>
      <c r="AE9" s="431"/>
      <c r="AF9" s="431"/>
      <c r="AG9" s="431"/>
      <c r="AH9" s="431"/>
    </row>
    <row r="10" spans="1:34" ht="339.75" customHeight="1" thickBot="1" x14ac:dyDescent="0.3">
      <c r="A10" s="421"/>
      <c r="C10" s="600"/>
      <c r="D10" s="601"/>
      <c r="E10" s="601"/>
      <c r="F10" s="601"/>
      <c r="G10" s="601"/>
      <c r="H10" s="601"/>
      <c r="I10" s="601"/>
      <c r="J10" s="601"/>
      <c r="K10" s="601"/>
      <c r="L10" s="601"/>
      <c r="M10" s="601"/>
      <c r="N10" s="601"/>
      <c r="O10" s="601"/>
      <c r="P10" s="602"/>
      <c r="R10" s="421"/>
      <c r="S10" s="421"/>
      <c r="T10" s="421"/>
      <c r="U10" s="421"/>
      <c r="V10" s="421"/>
      <c r="W10" s="421"/>
      <c r="X10" s="421"/>
      <c r="Y10" s="421"/>
      <c r="Z10" s="421"/>
      <c r="AA10" s="421"/>
      <c r="AB10" s="421"/>
      <c r="AC10" s="421"/>
      <c r="AD10" s="421"/>
      <c r="AE10" s="421"/>
      <c r="AF10" s="421"/>
      <c r="AG10" s="421"/>
      <c r="AH10" s="421"/>
    </row>
    <row r="11" spans="1:34" ht="6" customHeight="1" x14ac:dyDescent="0.25">
      <c r="A11" s="421"/>
      <c r="C11" s="454"/>
      <c r="D11" s="454"/>
      <c r="E11" s="454"/>
      <c r="F11" s="454"/>
      <c r="G11" s="454"/>
      <c r="H11" s="454"/>
      <c r="I11" s="454"/>
      <c r="J11" s="454"/>
      <c r="K11" s="454"/>
      <c r="L11" s="454"/>
      <c r="M11" s="454"/>
      <c r="N11" s="454"/>
      <c r="O11" s="454"/>
      <c r="P11" s="454"/>
      <c r="R11" s="421"/>
      <c r="S11" s="421"/>
      <c r="T11" s="421"/>
      <c r="U11" s="421"/>
      <c r="V11" s="421"/>
      <c r="W11" s="421"/>
      <c r="X11" s="421"/>
      <c r="Y11" s="421"/>
      <c r="Z11" s="421"/>
      <c r="AA11" s="421"/>
      <c r="AB11" s="421"/>
      <c r="AC11" s="421"/>
      <c r="AD11" s="421"/>
      <c r="AE11" s="421"/>
      <c r="AF11" s="421"/>
      <c r="AG11" s="421"/>
      <c r="AH11" s="421"/>
    </row>
    <row r="12" spans="1:34" ht="18.75" customHeight="1" x14ac:dyDescent="0.25">
      <c r="A12" s="421"/>
      <c r="C12" s="606" t="s">
        <v>666</v>
      </c>
      <c r="D12" s="607"/>
      <c r="E12" s="607"/>
      <c r="F12" s="607"/>
      <c r="G12" s="607"/>
      <c r="H12" s="607"/>
      <c r="I12" s="607"/>
      <c r="J12" s="607"/>
      <c r="K12" s="607"/>
      <c r="L12" s="607"/>
      <c r="M12" s="607"/>
      <c r="N12" s="607"/>
      <c r="O12" s="607"/>
      <c r="P12" s="608"/>
      <c r="Q12" s="404" t="e">
        <f>IF(AND(menu!B57=TRUE,menu!$B$191&lt;&gt;1),0,1)</f>
        <v>#REF!</v>
      </c>
      <c r="R12" s="421"/>
      <c r="S12" s="421"/>
      <c r="T12" s="421"/>
      <c r="U12" s="421"/>
      <c r="V12" s="421"/>
      <c r="W12" s="421"/>
      <c r="X12" s="421"/>
      <c r="Y12" s="421"/>
      <c r="Z12" s="421"/>
      <c r="AA12" s="421"/>
      <c r="AB12" s="421"/>
      <c r="AC12" s="421"/>
      <c r="AD12" s="421"/>
      <c r="AE12" s="421"/>
      <c r="AF12" s="421"/>
      <c r="AG12" s="421"/>
      <c r="AH12" s="421"/>
    </row>
    <row r="13" spans="1:34" ht="6" customHeight="1" x14ac:dyDescent="0.25">
      <c r="A13" s="421"/>
      <c r="C13" s="4"/>
      <c r="D13" s="4"/>
      <c r="E13" s="4"/>
      <c r="F13" s="4"/>
      <c r="G13" s="4"/>
      <c r="H13" s="4"/>
      <c r="I13" s="4"/>
      <c r="J13" s="4"/>
      <c r="K13" s="4"/>
      <c r="L13" s="4"/>
      <c r="M13" s="4"/>
      <c r="N13" s="4"/>
      <c r="O13" s="4"/>
      <c r="P13" s="4"/>
      <c r="R13" s="421"/>
      <c r="S13" s="432"/>
      <c r="T13" s="432"/>
      <c r="U13" s="432"/>
      <c r="V13" s="432"/>
      <c r="W13" s="432"/>
      <c r="X13" s="421"/>
      <c r="Y13" s="421"/>
      <c r="Z13" s="421"/>
      <c r="AA13" s="421"/>
      <c r="AB13" s="421"/>
      <c r="AC13" s="421"/>
      <c r="AD13" s="421"/>
      <c r="AE13" s="421"/>
      <c r="AF13" s="421"/>
      <c r="AG13" s="421"/>
      <c r="AH13" s="421"/>
    </row>
    <row r="14" spans="1:34" ht="28.5" customHeight="1" x14ac:dyDescent="0.25">
      <c r="A14" s="421"/>
      <c r="C14" s="603" t="str">
        <f>IF(Basisdaten!I27=menu!A105,Texte!A55,Texte!A54)</f>
        <v>Bewilligungsvoraussetzung ist, dass im gewählten Handlungsfeld en ein erhebliches Energie- und THG-Einsparpotenzial nachgewiesen werden kann.</v>
      </c>
      <c r="D14" s="604"/>
      <c r="E14" s="604"/>
      <c r="F14" s="604"/>
      <c r="G14" s="604"/>
      <c r="H14" s="604"/>
      <c r="I14" s="604"/>
      <c r="J14" s="604"/>
      <c r="K14" s="604"/>
      <c r="L14" s="604"/>
      <c r="M14" s="604"/>
      <c r="N14" s="604"/>
      <c r="O14" s="604"/>
      <c r="P14" s="605"/>
      <c r="R14" s="421"/>
      <c r="S14" s="432"/>
      <c r="T14" s="432"/>
      <c r="U14" s="432"/>
      <c r="V14" s="432"/>
      <c r="W14" s="432"/>
      <c r="X14" s="421"/>
      <c r="Y14" s="421"/>
      <c r="Z14" s="421"/>
      <c r="AA14" s="421"/>
      <c r="AB14" s="421"/>
      <c r="AC14" s="421"/>
      <c r="AD14" s="421"/>
      <c r="AE14" s="421"/>
      <c r="AF14" s="421"/>
      <c r="AG14" s="421"/>
      <c r="AH14" s="421"/>
    </row>
    <row r="15" spans="1:34" ht="12" customHeight="1" x14ac:dyDescent="0.25">
      <c r="A15" s="421"/>
      <c r="C15" s="581"/>
      <c r="D15" s="581"/>
      <c r="E15" s="581"/>
      <c r="F15" s="581"/>
      <c r="G15" s="581"/>
      <c r="H15" s="581"/>
      <c r="I15" s="581"/>
      <c r="J15" s="581"/>
      <c r="K15" s="581"/>
      <c r="L15" s="581"/>
      <c r="M15" s="581"/>
      <c r="N15" s="581"/>
      <c r="O15" s="581"/>
      <c r="P15" s="581"/>
      <c r="R15" s="421"/>
      <c r="S15" s="421"/>
      <c r="T15" s="421"/>
      <c r="U15" s="421"/>
      <c r="V15" s="421"/>
      <c r="W15" s="421"/>
      <c r="X15" s="421"/>
      <c r="Y15" s="421"/>
      <c r="Z15" s="421"/>
      <c r="AA15" s="421"/>
      <c r="AB15" s="421"/>
      <c r="AC15" s="421"/>
      <c r="AD15" s="421"/>
      <c r="AE15" s="421"/>
      <c r="AF15" s="421"/>
      <c r="AG15" s="421"/>
      <c r="AH15" s="421"/>
    </row>
    <row r="16" spans="1:34" x14ac:dyDescent="0.25">
      <c r="A16" s="421"/>
      <c r="C16" s="561" t="str">
        <f>Basisdaten!C46</f>
        <v>Vorhabenbeschreibung 
4.1.10 a): Erstellung eines 
Fokuskonzeptes 2509_V3</v>
      </c>
      <c r="D16" s="561"/>
      <c r="E16" s="561"/>
      <c r="F16" s="561"/>
      <c r="G16" s="561"/>
      <c r="H16" s="561"/>
      <c r="I16" s="561"/>
      <c r="J16" s="561"/>
      <c r="K16" s="561"/>
      <c r="L16" s="561"/>
      <c r="M16" s="561"/>
      <c r="N16" s="561"/>
      <c r="O16" s="561"/>
      <c r="P16" s="561"/>
      <c r="R16" s="421"/>
      <c r="S16" s="421"/>
      <c r="T16" s="421"/>
      <c r="U16" s="421"/>
      <c r="V16" s="421"/>
      <c r="W16" s="421"/>
      <c r="X16" s="421"/>
      <c r="Y16" s="421"/>
      <c r="Z16" s="421"/>
      <c r="AA16" s="421"/>
      <c r="AB16" s="421"/>
      <c r="AC16" s="421"/>
      <c r="AD16" s="421"/>
      <c r="AE16" s="421"/>
      <c r="AF16" s="421"/>
      <c r="AG16" s="421"/>
      <c r="AH16" s="421"/>
    </row>
    <row r="17" spans="1:34" x14ac:dyDescent="0.25">
      <c r="A17" s="421"/>
      <c r="R17" s="421"/>
      <c r="S17" s="421"/>
      <c r="T17" s="421"/>
      <c r="U17" s="421"/>
      <c r="V17" s="421"/>
      <c r="W17" s="421"/>
      <c r="X17" s="421"/>
      <c r="Y17" s="421"/>
      <c r="Z17" s="421"/>
      <c r="AA17" s="421"/>
      <c r="AB17" s="421"/>
      <c r="AC17" s="421"/>
      <c r="AD17" s="421"/>
      <c r="AE17" s="421"/>
      <c r="AF17" s="421"/>
      <c r="AG17" s="421"/>
      <c r="AH17" s="421"/>
    </row>
    <row r="18" spans="1:34" x14ac:dyDescent="0.25">
      <c r="A18" s="421"/>
      <c r="B18" s="421"/>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row>
    <row r="19" spans="1:34" x14ac:dyDescent="0.25">
      <c r="A19" s="421"/>
      <c r="B19" s="421"/>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row>
    <row r="20" spans="1:34" x14ac:dyDescent="0.25">
      <c r="A20" s="421"/>
      <c r="B20" s="421"/>
      <c r="C20" s="421"/>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row>
    <row r="21" spans="1:34" x14ac:dyDescent="0.25">
      <c r="A21" s="421"/>
      <c r="B21" s="421"/>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row>
    <row r="22" spans="1:34" x14ac:dyDescent="0.25">
      <c r="A22" s="421"/>
      <c r="B22" s="421"/>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row>
    <row r="23" spans="1:34" x14ac:dyDescent="0.25">
      <c r="A23" s="421"/>
      <c r="B23" s="421"/>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421"/>
    </row>
    <row r="24" spans="1:34" x14ac:dyDescent="0.25">
      <c r="A24" s="421"/>
      <c r="B24" s="421"/>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row>
    <row r="25" spans="1:34" x14ac:dyDescent="0.25">
      <c r="A25" s="421"/>
      <c r="B25" s="421"/>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row>
    <row r="26" spans="1:34" x14ac:dyDescent="0.25">
      <c r="A26" s="421"/>
      <c r="B26" s="421"/>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row>
    <row r="27" spans="1:34" x14ac:dyDescent="0.25">
      <c r="A27" s="421"/>
      <c r="B27" s="421"/>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row>
    <row r="28" spans="1:34" x14ac:dyDescent="0.25">
      <c r="A28" s="421"/>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row>
    <row r="29" spans="1:34" x14ac:dyDescent="0.25">
      <c r="A29" s="421"/>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row>
    <row r="30" spans="1:34" x14ac:dyDescent="0.25">
      <c r="A30" s="421"/>
      <c r="B30" s="421"/>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row>
    <row r="31" spans="1:34" x14ac:dyDescent="0.25">
      <c r="A31" s="421"/>
      <c r="B31" s="421"/>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row>
    <row r="32" spans="1:34" x14ac:dyDescent="0.25">
      <c r="A32" s="421"/>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row>
    <row r="33" spans="1:34" x14ac:dyDescent="0.25">
      <c r="A33" s="421"/>
      <c r="B33" s="421"/>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row>
    <row r="34" spans="1:34" x14ac:dyDescent="0.25">
      <c r="A34" s="421"/>
      <c r="B34" s="421"/>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row>
    <row r="35" spans="1:34" x14ac:dyDescent="0.25">
      <c r="A35" s="421"/>
      <c r="B35" s="421"/>
      <c r="C35" s="421"/>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row>
    <row r="36" spans="1:34" x14ac:dyDescent="0.25">
      <c r="A36" s="421"/>
      <c r="B36" s="421"/>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row>
    <row r="37" spans="1:34" x14ac:dyDescent="0.25">
      <c r="A37" s="421"/>
      <c r="B37" s="421"/>
      <c r="C37" s="421"/>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row>
    <row r="38" spans="1:34" x14ac:dyDescent="0.25">
      <c r="A38" s="421"/>
      <c r="B38" s="421"/>
      <c r="C38" s="42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421"/>
      <c r="AF38" s="421"/>
      <c r="AG38" s="421"/>
      <c r="AH38" s="421"/>
    </row>
    <row r="39" spans="1:34" x14ac:dyDescent="0.25">
      <c r="A39" s="421"/>
      <c r="B39" s="421"/>
      <c r="C39" s="421"/>
      <c r="D39" s="421"/>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row>
    <row r="40" spans="1:34" x14ac:dyDescent="0.25">
      <c r="A40" s="421"/>
      <c r="B40" s="421"/>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row>
    <row r="41" spans="1:34" x14ac:dyDescent="0.25">
      <c r="A41" s="421"/>
      <c r="B41" s="421"/>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row>
    <row r="42" spans="1:34" x14ac:dyDescent="0.25">
      <c r="A42" s="421"/>
      <c r="B42" s="421"/>
      <c r="C42" s="421"/>
      <c r="D42" s="421"/>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row>
    <row r="43" spans="1:34" x14ac:dyDescent="0.25">
      <c r="A43" s="421"/>
      <c r="B43" s="421"/>
      <c r="C43" s="421"/>
      <c r="D43" s="421"/>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1"/>
      <c r="AG43" s="421"/>
      <c r="AH43" s="421"/>
    </row>
    <row r="44" spans="1:34" x14ac:dyDescent="0.25">
      <c r="A44" s="421"/>
      <c r="B44" s="421"/>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row>
    <row r="45" spans="1:34" x14ac:dyDescent="0.25">
      <c r="A45" s="421"/>
      <c r="B45" s="421"/>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row>
    <row r="46" spans="1:34" x14ac:dyDescent="0.25">
      <c r="A46" s="421"/>
      <c r="B46" s="421"/>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row>
    <row r="47" spans="1:34" x14ac:dyDescent="0.25">
      <c r="A47" s="421"/>
      <c r="B47" s="421"/>
      <c r="C47" s="421"/>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row>
    <row r="48" spans="1:34" x14ac:dyDescent="0.25">
      <c r="A48" s="421"/>
      <c r="B48" s="421"/>
      <c r="C48" s="421"/>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row>
    <row r="49" spans="1:34" x14ac:dyDescent="0.25">
      <c r="A49" s="421"/>
      <c r="B49" s="421"/>
      <c r="C49" s="421"/>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row>
    <row r="50" spans="1:34" x14ac:dyDescent="0.25">
      <c r="A50" s="421"/>
      <c r="B50" s="421"/>
      <c r="C50" s="421"/>
      <c r="D50" s="421"/>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row>
    <row r="51" spans="1:34" x14ac:dyDescent="0.25">
      <c r="A51" s="421"/>
      <c r="B51" s="421"/>
      <c r="C51" s="421"/>
      <c r="D51" s="421"/>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row>
    <row r="52" spans="1:34" x14ac:dyDescent="0.25">
      <c r="A52" s="421"/>
      <c r="B52" s="421"/>
      <c r="C52" s="421"/>
      <c r="D52" s="421"/>
      <c r="E52" s="421"/>
      <c r="F52" s="421"/>
      <c r="G52" s="421"/>
      <c r="H52" s="421"/>
      <c r="I52" s="421"/>
      <c r="J52" s="421"/>
      <c r="K52" s="421"/>
      <c r="L52" s="421"/>
      <c r="M52" s="421"/>
      <c r="N52" s="421"/>
      <c r="O52" s="421"/>
      <c r="P52" s="421"/>
      <c r="Q52" s="421"/>
      <c r="R52" s="421"/>
      <c r="S52" s="421"/>
      <c r="T52" s="421"/>
      <c r="U52" s="421"/>
      <c r="V52" s="421"/>
      <c r="W52" s="421"/>
      <c r="X52" s="421"/>
      <c r="Y52" s="421"/>
      <c r="Z52" s="421"/>
      <c r="AA52" s="421"/>
      <c r="AB52" s="421"/>
      <c r="AC52" s="421"/>
      <c r="AD52" s="421"/>
      <c r="AE52" s="421"/>
      <c r="AF52" s="421"/>
      <c r="AG52" s="421"/>
      <c r="AH52" s="421"/>
    </row>
    <row r="53" spans="1:34" x14ac:dyDescent="0.25">
      <c r="A53" s="421"/>
      <c r="B53" s="421"/>
      <c r="C53" s="421"/>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row>
    <row r="54" spans="1:34" x14ac:dyDescent="0.25">
      <c r="A54" s="421"/>
      <c r="B54" s="421"/>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row>
    <row r="55" spans="1:34" x14ac:dyDescent="0.25">
      <c r="A55" s="421"/>
      <c r="B55" s="421"/>
      <c r="C55" s="421"/>
      <c r="D55" s="421"/>
      <c r="E55" s="421"/>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421"/>
    </row>
    <row r="56" spans="1:34" x14ac:dyDescent="0.25">
      <c r="A56" s="421"/>
      <c r="B56" s="421"/>
      <c r="C56" s="421"/>
      <c r="D56" s="421"/>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row>
    <row r="57" spans="1:34" x14ac:dyDescent="0.25">
      <c r="A57" s="421"/>
      <c r="B57" s="421"/>
      <c r="C57" s="421"/>
      <c r="D57" s="421"/>
      <c r="E57" s="421"/>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row>
    <row r="58" spans="1:34" x14ac:dyDescent="0.25">
      <c r="A58" s="421"/>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row>
    <row r="59" spans="1:34" x14ac:dyDescent="0.25">
      <c r="A59" s="421"/>
      <c r="B59" s="421"/>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421"/>
      <c r="AC59" s="421"/>
      <c r="AD59" s="421"/>
      <c r="AE59" s="421"/>
      <c r="AF59" s="421"/>
      <c r="AG59" s="421"/>
      <c r="AH59" s="421"/>
    </row>
    <row r="60" spans="1:34" x14ac:dyDescent="0.25">
      <c r="A60" s="421"/>
      <c r="B60" s="421"/>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row>
    <row r="61" spans="1:34" x14ac:dyDescent="0.25">
      <c r="A61" s="421"/>
      <c r="B61" s="421"/>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row>
    <row r="62" spans="1:34" x14ac:dyDescent="0.25">
      <c r="A62" s="421"/>
      <c r="B62" s="421"/>
      <c r="C62" s="421"/>
      <c r="D62" s="421"/>
      <c r="E62" s="421"/>
      <c r="F62" s="421"/>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c r="AD62" s="421"/>
      <c r="AE62" s="421"/>
      <c r="AF62" s="421"/>
      <c r="AG62" s="421"/>
      <c r="AH62" s="421"/>
    </row>
    <row r="63" spans="1:34" x14ac:dyDescent="0.25">
      <c r="A63" s="421"/>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1"/>
      <c r="AF63" s="421"/>
      <c r="AG63" s="421"/>
      <c r="AH63" s="421"/>
    </row>
    <row r="64" spans="1:34" x14ac:dyDescent="0.25">
      <c r="A64" s="421"/>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row>
    <row r="65" spans="1:34" x14ac:dyDescent="0.25">
      <c r="A65" s="421"/>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row>
    <row r="66" spans="1:34" x14ac:dyDescent="0.25">
      <c r="A66" s="421"/>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row>
    <row r="67" spans="1:34" x14ac:dyDescent="0.25">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row>
    <row r="68" spans="1:34" x14ac:dyDescent="0.25">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row>
    <row r="69" spans="1:34" x14ac:dyDescent="0.25">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row>
    <row r="70" spans="1:34" x14ac:dyDescent="0.25">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row>
    <row r="71" spans="1:34" x14ac:dyDescent="0.25">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t="s">
        <v>219</v>
      </c>
      <c r="AD71" s="421"/>
      <c r="AE71" s="421"/>
      <c r="AF71" s="421"/>
      <c r="AG71" s="421"/>
      <c r="AH71" s="421"/>
    </row>
  </sheetData>
  <sheetProtection algorithmName="SHA-512" hashValue="qVjJt11rl/n5buKfKDbeokShNIVdmmgBo5kItRliY+rHxajYsdH8/njMKSsTz3d5CL3iB0dspoSaoI4WlGc3bg==" saltValue="TZdG8E8zCq5qaq4VLvAq/Q==" spinCount="100000" sheet="1" objects="1" scenarios="1" selectLockedCells="1"/>
  <mergeCells count="9">
    <mergeCell ref="C16:P16"/>
    <mergeCell ref="C4:L4"/>
    <mergeCell ref="C5:M5"/>
    <mergeCell ref="C6:P6"/>
    <mergeCell ref="C8:P8"/>
    <mergeCell ref="C9:P10"/>
    <mergeCell ref="C14:P14"/>
    <mergeCell ref="C12:P12"/>
    <mergeCell ref="C15:P15"/>
  </mergeCells>
  <pageMargins left="0" right="0" top="0" bottom="0" header="0" footer="0"/>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2</xdr:col>
                    <xdr:colOff>95250</xdr:colOff>
                    <xdr:row>11</xdr:row>
                    <xdr:rowOff>0</xdr:rowOff>
                  </from>
                  <to>
                    <xdr:col>4</xdr:col>
                    <xdr:colOff>19050</xdr:colOff>
                    <xdr:row>11</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6" id="{35C56DA3-5A4E-49C9-AF0E-E3F89C91483B}">
            <xm:f>menu!$U$4=FALSE</xm:f>
            <x14:dxf>
              <font>
                <color theme="0"/>
              </font>
              <fill>
                <patternFill>
                  <fgColor theme="0"/>
                  <bgColor theme="0"/>
                </patternFill>
              </fill>
              <border>
                <left/>
                <right/>
                <top/>
                <bottom/>
                <vertical/>
                <horizontal/>
              </border>
            </x14:dxf>
          </x14:cfRule>
          <xm:sqref>C8:C9</xm:sqref>
        </x14:conditionalFormatting>
        <x14:conditionalFormatting xmlns:xm="http://schemas.microsoft.com/office/excel/2006/main">
          <x14:cfRule type="expression" priority="11" id="{6754421B-F2AC-46B9-9E12-B96566D5EF11}">
            <xm:f>menu!$B$191=0</xm:f>
            <x14:dxf>
              <font>
                <color theme="0"/>
              </font>
              <fill>
                <patternFill>
                  <bgColor theme="0"/>
                </patternFill>
              </fill>
              <border>
                <left/>
                <right/>
                <top/>
                <bottom/>
                <vertical/>
                <horizontal/>
              </border>
            </x14:dxf>
          </x14:cfRule>
          <xm:sqref>C15 C16:P17</xm:sqref>
        </x14:conditionalFormatting>
        <x14:conditionalFormatting xmlns:xm="http://schemas.microsoft.com/office/excel/2006/main">
          <x14:cfRule type="expression" priority="13" id="{2FB01E5B-415B-4C7E-8C07-AEBCC57C7C4B}">
            <xm:f>menu!$B$57=TRUE</xm:f>
            <x14:dxf>
              <fill>
                <patternFill>
                  <bgColor rgb="FFEBF1DE"/>
                </patternFill>
              </fill>
            </x14:dxf>
          </x14:cfRule>
          <xm:sqref>C12:P12</xm:sqref>
        </x14:conditionalFormatting>
        <x14:conditionalFormatting xmlns:xm="http://schemas.microsoft.com/office/excel/2006/main">
          <x14:cfRule type="expression" priority="1980" id="{B557E4E3-F467-43DF-80FF-E42F43B6920F}">
            <xm:f>OR(Basisdaten!#REF!="NEIN",Basisdaten!#REF!=menu!$A$154,Basisdaten!#REF!=menu!$A$155)</xm:f>
            <x14:dxf>
              <fill>
                <patternFill>
                  <bgColor rgb="FF92D050"/>
                </patternFill>
              </fill>
            </x14:dxf>
          </x14:cfRule>
          <xm:sqref>U5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6">
    <tabColor rgb="FFFFC000"/>
  </sheetPr>
  <dimension ref="A1:E85"/>
  <sheetViews>
    <sheetView workbookViewId="0">
      <selection activeCell="A9" sqref="A9"/>
    </sheetView>
  </sheetViews>
  <sheetFormatPr baseColWidth="10" defaultRowHeight="14.5" x14ac:dyDescent="0.35"/>
  <sheetData>
    <row r="1" spans="1:5" x14ac:dyDescent="0.35">
      <c r="A1" s="563" t="s">
        <v>211</v>
      </c>
      <c r="B1" s="563"/>
      <c r="C1" s="563"/>
      <c r="D1" s="563"/>
      <c r="E1" s="563"/>
    </row>
    <row r="2" spans="1:5" x14ac:dyDescent="0.35">
      <c r="B2" s="68">
        <v>43160</v>
      </c>
      <c r="C2" s="68">
        <v>43556</v>
      </c>
      <c r="D2" s="68">
        <v>43891</v>
      </c>
      <c r="E2" s="68">
        <v>44197</v>
      </c>
    </row>
    <row r="3" spans="1:5" x14ac:dyDescent="0.35">
      <c r="A3" t="s">
        <v>204</v>
      </c>
      <c r="B3" s="197">
        <v>5636</v>
      </c>
      <c r="C3" s="197">
        <v>5809</v>
      </c>
      <c r="D3" s="197">
        <v>5869</v>
      </c>
      <c r="E3" s="197">
        <v>5869</v>
      </c>
    </row>
    <row r="4" spans="1:5" x14ac:dyDescent="0.35">
      <c r="A4" t="s">
        <v>205</v>
      </c>
      <c r="B4" s="197">
        <v>5110</v>
      </c>
      <c r="C4" s="197">
        <v>5321</v>
      </c>
      <c r="D4" s="197">
        <v>5395</v>
      </c>
      <c r="E4" s="197">
        <v>5395</v>
      </c>
    </row>
    <row r="5" spans="1:5" x14ac:dyDescent="0.35">
      <c r="A5" t="s">
        <v>206</v>
      </c>
      <c r="B5" s="197">
        <v>4926</v>
      </c>
      <c r="C5" s="197">
        <v>5120</v>
      </c>
      <c r="D5" s="197">
        <v>5189</v>
      </c>
      <c r="E5" s="197">
        <v>5189</v>
      </c>
    </row>
    <row r="6" spans="1:5" x14ac:dyDescent="0.35">
      <c r="A6" t="s">
        <v>207</v>
      </c>
      <c r="B6" s="197">
        <v>4717</v>
      </c>
      <c r="C6" s="197">
        <v>4870</v>
      </c>
      <c r="D6" s="197">
        <v>4924</v>
      </c>
      <c r="E6" s="197">
        <v>4924</v>
      </c>
    </row>
    <row r="7" spans="1:5" x14ac:dyDescent="0.35">
      <c r="A7" t="s">
        <v>208</v>
      </c>
      <c r="B7" s="197">
        <v>4333</v>
      </c>
      <c r="C7" s="197">
        <v>4610</v>
      </c>
      <c r="D7" s="197">
        <v>4708</v>
      </c>
      <c r="E7" s="197">
        <v>4708</v>
      </c>
    </row>
    <row r="8" spans="1:5" x14ac:dyDescent="0.35">
      <c r="A8" t="s">
        <v>209</v>
      </c>
      <c r="B8" s="197">
        <v>4188</v>
      </c>
      <c r="C8" s="197">
        <v>4321</v>
      </c>
      <c r="D8" s="197">
        <v>4368</v>
      </c>
      <c r="E8" s="197">
        <v>4368</v>
      </c>
    </row>
    <row r="9" spans="1:5" x14ac:dyDescent="0.35">
      <c r="A9" t="s">
        <v>210</v>
      </c>
      <c r="B9" s="197">
        <v>4168</v>
      </c>
      <c r="C9" s="197">
        <v>4283</v>
      </c>
      <c r="D9" s="197">
        <v>4323</v>
      </c>
      <c r="E9" s="197">
        <v>4323</v>
      </c>
    </row>
    <row r="47" spans="1:1" x14ac:dyDescent="0.35">
      <c r="A47" s="197"/>
    </row>
    <row r="48" spans="1:1" x14ac:dyDescent="0.35">
      <c r="A48" s="197"/>
    </row>
    <row r="49" spans="1:1" x14ac:dyDescent="0.35">
      <c r="A49" s="197"/>
    </row>
    <row r="50" spans="1:1" x14ac:dyDescent="0.35">
      <c r="A50" s="197"/>
    </row>
    <row r="52" spans="1:1" x14ac:dyDescent="0.35">
      <c r="A52" s="197"/>
    </row>
    <row r="53" spans="1:1" x14ac:dyDescent="0.35">
      <c r="A53" s="197"/>
    </row>
    <row r="54" spans="1:1" x14ac:dyDescent="0.35">
      <c r="A54" s="197"/>
    </row>
    <row r="55" spans="1:1" x14ac:dyDescent="0.35">
      <c r="A55" s="197"/>
    </row>
    <row r="57" spans="1:1" x14ac:dyDescent="0.35">
      <c r="A57" s="197"/>
    </row>
    <row r="58" spans="1:1" x14ac:dyDescent="0.35">
      <c r="A58" s="197"/>
    </row>
    <row r="59" spans="1:1" x14ac:dyDescent="0.35">
      <c r="A59" s="197"/>
    </row>
    <row r="60" spans="1:1" x14ac:dyDescent="0.35">
      <c r="A60" s="197"/>
    </row>
    <row r="62" spans="1:1" x14ac:dyDescent="0.35">
      <c r="A62" s="197"/>
    </row>
    <row r="63" spans="1:1" x14ac:dyDescent="0.35">
      <c r="A63" s="197"/>
    </row>
    <row r="64" spans="1:1" x14ac:dyDescent="0.35">
      <c r="A64" s="197"/>
    </row>
    <row r="65" spans="1:1" x14ac:dyDescent="0.35">
      <c r="A65" s="197"/>
    </row>
    <row r="67" spans="1:1" x14ac:dyDescent="0.35">
      <c r="A67" s="197"/>
    </row>
    <row r="68" spans="1:1" x14ac:dyDescent="0.35">
      <c r="A68" s="197"/>
    </row>
    <row r="69" spans="1:1" x14ac:dyDescent="0.35">
      <c r="A69" s="197"/>
    </row>
    <row r="70" spans="1:1" x14ac:dyDescent="0.35">
      <c r="A70" s="197"/>
    </row>
    <row r="72" spans="1:1" x14ac:dyDescent="0.35">
      <c r="A72" s="197"/>
    </row>
    <row r="73" spans="1:1" x14ac:dyDescent="0.35">
      <c r="A73" s="197"/>
    </row>
    <row r="74" spans="1:1" x14ac:dyDescent="0.35">
      <c r="A74" s="197"/>
    </row>
    <row r="75" spans="1:1" x14ac:dyDescent="0.35">
      <c r="A75" s="197"/>
    </row>
    <row r="77" spans="1:1" x14ac:dyDescent="0.35">
      <c r="A77" s="197"/>
    </row>
    <row r="78" spans="1:1" x14ac:dyDescent="0.35">
      <c r="A78" s="197"/>
    </row>
    <row r="79" spans="1:1" x14ac:dyDescent="0.35">
      <c r="A79" s="197"/>
    </row>
    <row r="80" spans="1:1" x14ac:dyDescent="0.35">
      <c r="A80" s="197"/>
    </row>
    <row r="82" spans="1:1" x14ac:dyDescent="0.35">
      <c r="A82" s="197"/>
    </row>
    <row r="83" spans="1:1" x14ac:dyDescent="0.35">
      <c r="A83" s="197"/>
    </row>
    <row r="84" spans="1:1" x14ac:dyDescent="0.35">
      <c r="A84" s="197"/>
    </row>
    <row r="85" spans="1:1" x14ac:dyDescent="0.35">
      <c r="A85" s="197"/>
    </row>
  </sheetData>
  <customSheetViews>
    <customSheetView guid="{68ABA936-E0C3-4F62-AA1D-4FD1F5462098}" state="hidden">
      <selection activeCell="G4" sqref="G4"/>
      <pageMargins left="0.7" right="0.7" top="0.78740157499999996" bottom="0.78740157499999996" header="0.3" footer="0.3"/>
    </customSheetView>
  </customSheetViews>
  <mergeCells count="1">
    <mergeCell ref="A1:E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tabColor theme="1"/>
  </sheetPr>
  <dimension ref="B3:L17"/>
  <sheetViews>
    <sheetView workbookViewId="0">
      <selection activeCell="D12" sqref="D12"/>
    </sheetView>
  </sheetViews>
  <sheetFormatPr baseColWidth="10" defaultRowHeight="14.5" x14ac:dyDescent="0.35"/>
  <cols>
    <col min="1" max="1" width="2.453125" customWidth="1"/>
    <col min="2" max="2" width="31.26953125" customWidth="1"/>
    <col min="3" max="3" width="9" customWidth="1"/>
    <col min="4" max="4" width="14" customWidth="1"/>
    <col min="6" max="6" width="13.54296875" customWidth="1"/>
    <col min="7" max="7" width="13.81640625" customWidth="1"/>
    <col min="8" max="8" width="15" customWidth="1"/>
    <col min="9" max="9" width="9" customWidth="1"/>
    <col min="10" max="10" width="18" customWidth="1"/>
    <col min="12" max="12" width="72.81640625" customWidth="1"/>
  </cols>
  <sheetData>
    <row r="3" spans="2:12" x14ac:dyDescent="0.35">
      <c r="B3" s="611" t="s">
        <v>325</v>
      </c>
      <c r="C3" s="611"/>
      <c r="D3" s="611"/>
      <c r="E3" s="611"/>
      <c r="F3" s="611"/>
      <c r="G3" s="611"/>
      <c r="H3" s="611"/>
      <c r="I3" s="611"/>
      <c r="J3" s="611"/>
      <c r="L3" t="s">
        <v>340</v>
      </c>
    </row>
    <row r="4" spans="2:12" x14ac:dyDescent="0.35">
      <c r="B4" s="269" t="s">
        <v>353</v>
      </c>
      <c r="C4" s="269" t="s">
        <v>326</v>
      </c>
      <c r="D4" s="269" t="s">
        <v>352</v>
      </c>
      <c r="E4" s="269"/>
      <c r="F4" s="269"/>
      <c r="G4" s="269"/>
      <c r="H4" s="269"/>
      <c r="I4" s="269"/>
      <c r="J4" s="269"/>
    </row>
    <row r="5" spans="2:12" x14ac:dyDescent="0.35">
      <c r="B5" s="269" t="s">
        <v>349</v>
      </c>
      <c r="C5" s="613">
        <v>300</v>
      </c>
      <c r="D5" s="613"/>
      <c r="E5" s="269"/>
      <c r="F5" s="269"/>
      <c r="G5" s="269"/>
      <c r="H5" s="269"/>
      <c r="I5" s="269"/>
      <c r="J5" s="269"/>
    </row>
    <row r="6" spans="2:12" ht="15" thickBot="1" x14ac:dyDescent="0.4">
      <c r="B6" s="269" t="s">
        <v>350</v>
      </c>
      <c r="C6" s="293">
        <v>12</v>
      </c>
      <c r="D6" s="293">
        <v>100</v>
      </c>
      <c r="E6" s="269"/>
      <c r="F6" s="269"/>
      <c r="G6" s="269"/>
      <c r="H6" s="269"/>
      <c r="I6" s="269"/>
      <c r="J6" s="269"/>
    </row>
    <row r="7" spans="2:12" x14ac:dyDescent="0.35">
      <c r="B7" s="271"/>
      <c r="C7" s="278" t="s">
        <v>214</v>
      </c>
      <c r="D7" s="278"/>
      <c r="E7" s="278" t="s">
        <v>221</v>
      </c>
      <c r="F7" s="278" t="s">
        <v>222</v>
      </c>
      <c r="G7" s="278" t="s">
        <v>327</v>
      </c>
      <c r="H7" s="612" t="s">
        <v>330</v>
      </c>
      <c r="I7" s="612"/>
      <c r="J7" s="279" t="s">
        <v>329</v>
      </c>
    </row>
    <row r="8" spans="2:12" x14ac:dyDescent="0.35">
      <c r="B8" s="280" t="s">
        <v>328</v>
      </c>
      <c r="C8" s="211">
        <f>menu!G145</f>
        <v>0</v>
      </c>
      <c r="D8" s="211">
        <f>5*menu!I47</f>
        <v>5</v>
      </c>
      <c r="I8" s="277"/>
      <c r="J8" s="281">
        <v>300</v>
      </c>
    </row>
    <row r="9" spans="2:12" x14ac:dyDescent="0.35">
      <c r="B9" s="280" t="s">
        <v>43</v>
      </c>
      <c r="C9" s="286">
        <f>menu!H145</f>
        <v>0</v>
      </c>
      <c r="D9" s="283"/>
      <c r="J9" s="284"/>
    </row>
    <row r="10" spans="2:12" x14ac:dyDescent="0.35">
      <c r="B10" s="280" t="s">
        <v>45</v>
      </c>
      <c r="C10" s="211">
        <f>menu!F145</f>
        <v>0</v>
      </c>
      <c r="D10" s="211">
        <f>IF(menu!H46=menu!A103,6,9)</f>
        <v>9</v>
      </c>
      <c r="J10" s="285">
        <v>300</v>
      </c>
    </row>
    <row r="11" spans="2:12" x14ac:dyDescent="0.35">
      <c r="B11" s="280" t="s">
        <v>44</v>
      </c>
      <c r="C11" s="286">
        <f>menu!I145</f>
        <v>0</v>
      </c>
      <c r="D11" s="287"/>
      <c r="J11" s="264"/>
    </row>
    <row r="12" spans="2:12" x14ac:dyDescent="0.35">
      <c r="B12" s="282" t="s">
        <v>326</v>
      </c>
      <c r="C12" s="286"/>
      <c r="D12" s="287"/>
      <c r="E12" s="268">
        <v>10</v>
      </c>
      <c r="F12" s="268">
        <v>10</v>
      </c>
      <c r="G12" s="268"/>
      <c r="H12" s="609" t="s">
        <v>341</v>
      </c>
      <c r="I12" s="610"/>
      <c r="J12" s="284"/>
    </row>
    <row r="13" spans="2:12" x14ac:dyDescent="0.35">
      <c r="B13" s="288"/>
      <c r="J13" s="289"/>
    </row>
    <row r="14" spans="2:12" x14ac:dyDescent="0.35">
      <c r="B14" s="288"/>
      <c r="C14" t="s">
        <v>335</v>
      </c>
      <c r="D14" t="s">
        <v>336</v>
      </c>
      <c r="E14" t="s">
        <v>339</v>
      </c>
      <c r="J14" s="289"/>
    </row>
    <row r="15" spans="2:12" x14ac:dyDescent="0.35">
      <c r="B15" s="288" t="s">
        <v>342</v>
      </c>
      <c r="C15" t="s">
        <v>332</v>
      </c>
      <c r="D15" t="s">
        <v>332</v>
      </c>
      <c r="J15" s="289"/>
    </row>
    <row r="16" spans="2:12" ht="15" thickBot="1" x14ac:dyDescent="0.4">
      <c r="B16" s="290" t="s">
        <v>333</v>
      </c>
      <c r="C16" s="291" t="s">
        <v>334</v>
      </c>
      <c r="D16" s="291"/>
      <c r="E16" s="291"/>
      <c r="F16" s="291"/>
      <c r="G16" s="291"/>
      <c r="H16" s="291"/>
      <c r="I16" s="291"/>
      <c r="J16" s="292"/>
    </row>
    <row r="17" spans="2:5" x14ac:dyDescent="0.35">
      <c r="B17" t="s">
        <v>343</v>
      </c>
      <c r="C17" t="s">
        <v>337</v>
      </c>
      <c r="D17" t="s">
        <v>338</v>
      </c>
      <c r="E17" t="s">
        <v>537</v>
      </c>
    </row>
  </sheetData>
  <mergeCells count="4">
    <mergeCell ref="H12:I12"/>
    <mergeCell ref="B3:J3"/>
    <mergeCell ref="H7:I7"/>
    <mergeCell ref="C5:D5"/>
  </mergeCells>
  <conditionalFormatting sqref="C8">
    <cfRule type="cellIs" dxfId="352" priority="1" operator="greaterThan">
      <formula>$D$8</formula>
    </cfRule>
  </conditionalFormatting>
  <conditionalFormatting sqref="C10">
    <cfRule type="cellIs" dxfId="351" priority="2" operator="greaterThan">
      <formula>$D$10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tabColor theme="1"/>
  </sheetPr>
  <dimension ref="A1:S39"/>
  <sheetViews>
    <sheetView view="pageBreakPreview" zoomScale="118" zoomScaleNormal="100" zoomScaleSheetLayoutView="118" workbookViewId="0">
      <selection activeCell="K2" sqref="K2"/>
    </sheetView>
  </sheetViews>
  <sheetFormatPr baseColWidth="10" defaultRowHeight="14.5" x14ac:dyDescent="0.35"/>
  <cols>
    <col min="1" max="1" width="12.81640625" bestFit="1" customWidth="1"/>
    <col min="2" max="2" width="3.26953125" bestFit="1" customWidth="1"/>
    <col min="3" max="3" width="14.54296875" bestFit="1" customWidth="1"/>
    <col min="4" max="5" width="16.26953125" bestFit="1" customWidth="1"/>
    <col min="6" max="6" width="12.453125" bestFit="1" customWidth="1"/>
    <col min="7" max="7" width="16.453125" bestFit="1" customWidth="1"/>
    <col min="16" max="16" width="15.26953125" bestFit="1" customWidth="1"/>
  </cols>
  <sheetData>
    <row r="1" spans="1:19" x14ac:dyDescent="0.35">
      <c r="C1" t="s">
        <v>479</v>
      </c>
      <c r="D1" s="68">
        <f>Basisdaten!I36</f>
        <v>0</v>
      </c>
      <c r="E1" t="s">
        <v>480</v>
      </c>
      <c r="F1" s="68" t="str">
        <f>Basisdaten!L36</f>
        <v/>
      </c>
      <c r="K1" t="s">
        <v>494</v>
      </c>
      <c r="M1" t="s">
        <v>486</v>
      </c>
      <c r="N1" t="s">
        <v>58</v>
      </c>
      <c r="P1" t="s">
        <v>491</v>
      </c>
      <c r="Q1" t="s">
        <v>6</v>
      </c>
      <c r="S1" t="s">
        <v>506</v>
      </c>
    </row>
    <row r="2" spans="1:19" x14ac:dyDescent="0.35">
      <c r="B2" s="376" t="s">
        <v>68</v>
      </c>
      <c r="C2" t="s">
        <v>478</v>
      </c>
      <c r="D2" t="s">
        <v>485</v>
      </c>
      <c r="E2" t="s">
        <v>58</v>
      </c>
      <c r="G2" t="s">
        <v>485</v>
      </c>
      <c r="H2" t="s">
        <v>58</v>
      </c>
      <c r="I2" t="s">
        <v>481</v>
      </c>
      <c r="K2">
        <f>SUMPRODUCT(N(YEAR(C3:C39)=Personal!E50))</f>
        <v>0</v>
      </c>
      <c r="L2" t="s">
        <v>298</v>
      </c>
      <c r="M2" s="374">
        <f>SUMIFS(Q2:Q6,P2:P6,"EG 9b")+SUMIFS(Q2:Q6,P2:P6,"EG 9c")+SUMIFS(Q2:Q6,P2:P6,"EG 10")+SUMIFS(Q2:Q6,P2:P6,"EG 11")</f>
        <v>0</v>
      </c>
      <c r="N2" s="374">
        <f>SUMIFS(Q2:Q6,P2:P6,"EG 12")+SUMIFS(Q2:Q6,P2:P6,"EG 13")</f>
        <v>0</v>
      </c>
      <c r="O2" t="s">
        <v>488</v>
      </c>
      <c r="P2" t="str">
        <f>Personal!E22</f>
        <v>bitte auswählen</v>
      </c>
      <c r="Q2">
        <f>Personal!N22</f>
        <v>0</v>
      </c>
      <c r="S2">
        <f>COUNTIF(Personal!E22:E26,"&lt;&gt;bitte auswählen")</f>
        <v>0</v>
      </c>
    </row>
    <row r="3" spans="1:19" x14ac:dyDescent="0.35">
      <c r="A3" t="s">
        <v>484</v>
      </c>
      <c r="B3">
        <v>1</v>
      </c>
      <c r="C3" s="365">
        <f>D1</f>
        <v>0</v>
      </c>
      <c r="D3" s="367">
        <f>IF(DAY(D1)&lt;&gt;1,SUM(M2)*I3,SUM(M2))</f>
        <v>0</v>
      </c>
      <c r="E3" s="367">
        <f>IF(DAY(D1)&lt;&gt;1,SUM(N2)*I3,SUM(N2))</f>
        <v>0</v>
      </c>
      <c r="F3" s="211" t="str">
        <f>"Summe "&amp;YEAR(D1)&amp;":"</f>
        <v>Summe 1900:</v>
      </c>
      <c r="G3" s="368">
        <f>SUMPRODUCT((YEAR(C3:C39)=YEAR(D1))*(D3:D39))</f>
        <v>0</v>
      </c>
      <c r="H3" s="211">
        <f>SUMPRODUCT((YEAR(C3:C39)=YEAR(D1))*(E3:E39))</f>
        <v>0</v>
      </c>
      <c r="I3">
        <f>ROUND((C4-C3)/30.436875,1)</f>
        <v>1.1000000000000001</v>
      </c>
      <c r="K3">
        <f>SUMPRODUCT(N(YEAR(C3:C39)=Personal!F50))</f>
        <v>0</v>
      </c>
      <c r="L3" t="s">
        <v>299</v>
      </c>
      <c r="M3" s="374">
        <f>SUMIFS(Q8:Q12,P8:P12,"EG 9b")+SUMIFS(Q8:Q12,P8:P12,"EG 9c")+SUMIFS(Q8:Q12,P8:P12,"EG 10")+SUMIFS(Q8:Q12,P8:P12,"EG 11")</f>
        <v>0</v>
      </c>
      <c r="N3" s="374">
        <f>SUMIFS(Q8:Q12,P8:P12,"EG 12")+SUMIFS(Q8:Q12,P8:P12,"EG 13")</f>
        <v>0</v>
      </c>
      <c r="P3" t="str">
        <f>Personal!E23</f>
        <v>bitte auswählen</v>
      </c>
      <c r="Q3">
        <f>Personal!N23</f>
        <v>0</v>
      </c>
      <c r="S3" t="s">
        <v>507</v>
      </c>
    </row>
    <row r="4" spans="1:19" x14ac:dyDescent="0.35">
      <c r="B4">
        <v>2</v>
      </c>
      <c r="C4" s="364">
        <f>DATE(YEAR(C3),MONTH(C3)+1,DAY(1))</f>
        <v>32</v>
      </c>
      <c r="D4" s="367">
        <f>$M$2</f>
        <v>0</v>
      </c>
      <c r="E4" s="367">
        <f>$N$2</f>
        <v>0</v>
      </c>
      <c r="F4" s="211" t="str">
        <f>"Summe "&amp;YEAR(D1)+1&amp;":"</f>
        <v>Summe 1901:</v>
      </c>
      <c r="G4" s="368">
        <f>SUMPRODUCT((YEAR(C3:C39)=YEAR(D1)+1)*(D3:D39))</f>
        <v>0</v>
      </c>
      <c r="H4" s="211">
        <f>SUMPRODUCT((YEAR(C3:C39)=YEAR(D1)+1)*(E3:E39))</f>
        <v>0</v>
      </c>
      <c r="K4">
        <f>SUMPRODUCT(N(YEAR(C3:C39)=Personal!G50))</f>
        <v>0</v>
      </c>
      <c r="L4" t="s">
        <v>300</v>
      </c>
      <c r="M4" s="374">
        <f>SUMIFS(Q14:Q18,P14:P18,"EG 9b")+SUMIFS(Q14:Q18,P14:P18,"EG 9c")+SUMIFS(Q14:Q18,P14:P18,"EG 10")+SUMIFS(Q14:Q18,P14:P18,"EG 11")</f>
        <v>0</v>
      </c>
      <c r="N4" s="374">
        <f>SUMIFS(Q14:Q18,P14:P18,"EG 12")+SUMIFS(Q14:Q18,P14:P18,"EG 13")</f>
        <v>0</v>
      </c>
      <c r="P4" t="str">
        <f>Personal!E24</f>
        <v>bitte auswählen</v>
      </c>
      <c r="Q4">
        <f>Personal!N24</f>
        <v>0</v>
      </c>
      <c r="S4">
        <f>COUNTIF(Personalausgaben!P2:P6,"EG 9b")+COUNTIF(Personalausgaben!P2:P6,"EG 9c")+COUNTIF(Personalausgaben!P2:P6,"EG 10")+COUNTIF(Personalausgaben!P2:P6,"EG 11")</f>
        <v>0</v>
      </c>
    </row>
    <row r="5" spans="1:19" x14ac:dyDescent="0.35">
      <c r="B5">
        <v>3</v>
      </c>
      <c r="C5" s="364">
        <f t="shared" ref="C5:C38" si="0">DATE(YEAR(C4),MONTH(C4)+1,DAY(C4))</f>
        <v>61</v>
      </c>
      <c r="D5" s="367">
        <f t="shared" ref="D5:D14" si="1">$M$2</f>
        <v>0</v>
      </c>
      <c r="E5" s="367">
        <f t="shared" ref="E5:E14" si="2">$N$2</f>
        <v>0</v>
      </c>
      <c r="F5" s="211" t="str">
        <f>"Summe "&amp;YEAR(D1)+2&amp;":"</f>
        <v>Summe 1902:</v>
      </c>
      <c r="G5" s="368">
        <f>SUMPRODUCT((YEAR(C3:C39)=YEAR(D1)+2)*(D3:D39))</f>
        <v>0</v>
      </c>
      <c r="H5" s="211">
        <f>SUMPRODUCT((YEAR(C3:C39)=YEAR(D1)+2)*(E3:E39))</f>
        <v>0</v>
      </c>
      <c r="K5" t="e">
        <f>SUMPRODUCT(N(YEAR(C3:C39)=Personal!G50+1))</f>
        <v>#VALUE!</v>
      </c>
      <c r="P5" t="str">
        <f>Personal!E25</f>
        <v>bitte auswählen</v>
      </c>
      <c r="Q5">
        <f>Personal!N25</f>
        <v>0</v>
      </c>
      <c r="S5" t="s">
        <v>508</v>
      </c>
    </row>
    <row r="6" spans="1:19" x14ac:dyDescent="0.35">
      <c r="B6">
        <v>4</v>
      </c>
      <c r="C6" s="364">
        <f t="shared" si="0"/>
        <v>92</v>
      </c>
      <c r="D6" s="367">
        <f t="shared" si="1"/>
        <v>0</v>
      </c>
      <c r="E6" s="367">
        <f t="shared" si="2"/>
        <v>0</v>
      </c>
      <c r="F6" s="211" t="str">
        <f>"Summe "&amp;YEAR(D1)+3&amp;":"</f>
        <v>Summe 1903:</v>
      </c>
      <c r="G6" s="368">
        <f>SUMPRODUCT((YEAR(C3:C39)=YEAR(D1)+3)*(D3:D39))</f>
        <v>0</v>
      </c>
      <c r="H6" s="211">
        <f>SUMPRODUCT((YEAR(C3:C39)=YEAR(D1)+3)*(E3:E39))</f>
        <v>0</v>
      </c>
      <c r="P6" t="str">
        <f>Personal!E26</f>
        <v>bitte auswählen</v>
      </c>
      <c r="Q6">
        <f>Personal!N26</f>
        <v>0</v>
      </c>
      <c r="S6">
        <f>COUNTIF(Personalausgaben!P2:P6,"EG 12")+COUNTIF(Personalausgaben!P2:P6,"EG 13")</f>
        <v>0</v>
      </c>
    </row>
    <row r="7" spans="1:19" x14ac:dyDescent="0.35">
      <c r="B7">
        <v>5</v>
      </c>
      <c r="C7" s="364">
        <f t="shared" si="0"/>
        <v>122</v>
      </c>
      <c r="D7" s="367">
        <f t="shared" si="1"/>
        <v>0</v>
      </c>
      <c r="E7" s="367">
        <f t="shared" si="2"/>
        <v>0</v>
      </c>
      <c r="F7" s="211" t="str">
        <f>"Summe "&amp;YEAR(D1)+4&amp;":"</f>
        <v>Summe 1904:</v>
      </c>
      <c r="G7" s="368">
        <f>SUMPRODUCT((YEAR(C3:C39)=YEAR(D1)+4)*(D3:D39))</f>
        <v>0</v>
      </c>
      <c r="H7" s="211">
        <f>SUMPRODUCT((YEAR(C3:C39)=YEAR(D1)+4)*(E3:E39))</f>
        <v>0</v>
      </c>
    </row>
    <row r="8" spans="1:19" x14ac:dyDescent="0.35">
      <c r="B8">
        <v>6</v>
      </c>
      <c r="C8" s="364">
        <f t="shared" si="0"/>
        <v>153</v>
      </c>
      <c r="D8" s="367">
        <f t="shared" si="1"/>
        <v>0</v>
      </c>
      <c r="E8" s="367">
        <f t="shared" si="2"/>
        <v>0</v>
      </c>
      <c r="F8" s="179" t="s">
        <v>17</v>
      </c>
      <c r="G8" s="375">
        <f>SUM(G3:G7)</f>
        <v>0</v>
      </c>
      <c r="H8" s="179">
        <f>SUM(H3:H7)</f>
        <v>0</v>
      </c>
      <c r="O8" t="s">
        <v>489</v>
      </c>
      <c r="P8" t="str">
        <f>Personal!E29</f>
        <v/>
      </c>
      <c r="Q8">
        <f>Personal!N29</f>
        <v>0</v>
      </c>
    </row>
    <row r="9" spans="1:19" x14ac:dyDescent="0.35">
      <c r="B9">
        <v>7</v>
      </c>
      <c r="C9" s="364">
        <f t="shared" si="0"/>
        <v>183</v>
      </c>
      <c r="D9" s="367">
        <f t="shared" si="1"/>
        <v>0</v>
      </c>
      <c r="E9" s="367">
        <f t="shared" si="2"/>
        <v>0</v>
      </c>
      <c r="P9" t="str">
        <f>Personal!E30</f>
        <v/>
      </c>
      <c r="Q9">
        <f>Personal!N30</f>
        <v>0</v>
      </c>
    </row>
    <row r="10" spans="1:19" x14ac:dyDescent="0.35">
      <c r="B10">
        <v>8</v>
      </c>
      <c r="C10" s="364">
        <f t="shared" si="0"/>
        <v>214</v>
      </c>
      <c r="D10" s="367">
        <f t="shared" si="1"/>
        <v>0</v>
      </c>
      <c r="E10" s="367">
        <f t="shared" si="2"/>
        <v>0</v>
      </c>
      <c r="P10" t="str">
        <f>Personal!E31</f>
        <v/>
      </c>
      <c r="Q10">
        <f>Personal!N31</f>
        <v>0</v>
      </c>
    </row>
    <row r="11" spans="1:19" x14ac:dyDescent="0.35">
      <c r="B11">
        <v>9</v>
      </c>
      <c r="C11" s="364">
        <f t="shared" si="0"/>
        <v>245</v>
      </c>
      <c r="D11" s="367">
        <f t="shared" si="1"/>
        <v>0</v>
      </c>
      <c r="E11" s="367">
        <f t="shared" si="2"/>
        <v>0</v>
      </c>
      <c r="P11" t="str">
        <f>Personal!E32</f>
        <v/>
      </c>
      <c r="Q11">
        <f>Personal!N32</f>
        <v>0</v>
      </c>
    </row>
    <row r="12" spans="1:19" x14ac:dyDescent="0.35">
      <c r="B12">
        <v>10</v>
      </c>
      <c r="C12" s="364">
        <f t="shared" si="0"/>
        <v>275</v>
      </c>
      <c r="D12" s="367">
        <f t="shared" si="1"/>
        <v>0</v>
      </c>
      <c r="E12" s="367">
        <f t="shared" si="2"/>
        <v>0</v>
      </c>
      <c r="P12" t="str">
        <f>Personal!E33</f>
        <v/>
      </c>
      <c r="Q12">
        <f>Personal!N33</f>
        <v>0</v>
      </c>
    </row>
    <row r="13" spans="1:19" x14ac:dyDescent="0.35">
      <c r="B13">
        <v>11</v>
      </c>
      <c r="C13" s="364">
        <f t="shared" si="0"/>
        <v>306</v>
      </c>
      <c r="D13" s="367">
        <f t="shared" si="1"/>
        <v>0</v>
      </c>
      <c r="E13" s="367">
        <f t="shared" si="2"/>
        <v>0</v>
      </c>
    </row>
    <row r="14" spans="1:19" x14ac:dyDescent="0.35">
      <c r="B14" s="211">
        <v>12</v>
      </c>
      <c r="C14" s="366">
        <f>IF(AND(menu!I47=1,DAY(D1)&lt;&gt;1),DATE(YEAR(C13),MONTH(C13)+1,DAY(C3)-1),DATE(YEAR(C13),MONTH(C13)+1,DAY(C13)))</f>
        <v>334</v>
      </c>
      <c r="D14" s="367">
        <f t="shared" si="1"/>
        <v>0</v>
      </c>
      <c r="E14" s="367">
        <f t="shared" si="2"/>
        <v>0</v>
      </c>
      <c r="F14" s="367"/>
      <c r="I14">
        <f>IF(menu!I47=1,1-I3,0)</f>
        <v>-0.10000000000000009</v>
      </c>
      <c r="O14" t="s">
        <v>490</v>
      </c>
      <c r="P14" t="str">
        <f>Personal!E36</f>
        <v/>
      </c>
      <c r="Q14">
        <f>Personal!N36</f>
        <v>0</v>
      </c>
    </row>
    <row r="15" spans="1:19" x14ac:dyDescent="0.35">
      <c r="A15" s="329" t="s">
        <v>483</v>
      </c>
      <c r="B15" s="329">
        <v>13</v>
      </c>
      <c r="C15" s="369">
        <f t="shared" si="0"/>
        <v>364</v>
      </c>
      <c r="D15" s="370">
        <f>IF(menu!$I$47&gt;1,SUM(M3),IF(DAY(D1)&lt;&gt;1,SUM(M2)*I14,0))</f>
        <v>0</v>
      </c>
      <c r="E15" s="370">
        <f>IF(menu!$I$47&gt;1,SUM(N3),IF(DAY(D1)&lt;&gt;1,SUM(N2)*I14,0))</f>
        <v>0</v>
      </c>
      <c r="P15" t="str">
        <f>Personal!E37</f>
        <v/>
      </c>
      <c r="Q15">
        <f>Personal!N37</f>
        <v>0</v>
      </c>
    </row>
    <row r="16" spans="1:19" x14ac:dyDescent="0.35">
      <c r="B16">
        <v>14</v>
      </c>
      <c r="C16" s="364">
        <f t="shared" si="0"/>
        <v>395</v>
      </c>
      <c r="D16" s="367">
        <f>IF(menu!$I$47&gt;1,$M$3,0)</f>
        <v>0</v>
      </c>
      <c r="E16" s="367">
        <f>IF(menu!$I$47&gt;1,$N$3,0)</f>
        <v>0</v>
      </c>
      <c r="P16" t="str">
        <f>Personal!E38</f>
        <v/>
      </c>
      <c r="Q16">
        <f>Personal!N38</f>
        <v>0</v>
      </c>
    </row>
    <row r="17" spans="1:17" x14ac:dyDescent="0.35">
      <c r="B17">
        <v>15</v>
      </c>
      <c r="C17" s="364">
        <f t="shared" si="0"/>
        <v>426</v>
      </c>
      <c r="D17" s="367">
        <f>IF(menu!$I$47&gt;1,$M$3,0)</f>
        <v>0</v>
      </c>
      <c r="E17" s="367">
        <f>IF(menu!$I$47&gt;1,$N$3,0)</f>
        <v>0</v>
      </c>
      <c r="P17" t="str">
        <f>Personal!E39</f>
        <v/>
      </c>
      <c r="Q17">
        <f>Personal!N39</f>
        <v>0</v>
      </c>
    </row>
    <row r="18" spans="1:17" x14ac:dyDescent="0.35">
      <c r="B18">
        <v>16</v>
      </c>
      <c r="C18" s="364">
        <f t="shared" si="0"/>
        <v>457</v>
      </c>
      <c r="D18" s="367">
        <f>IF(menu!$I$47&gt;1,$M$3,0)</f>
        <v>0</v>
      </c>
      <c r="E18" s="367">
        <f>IF(menu!$I$47&gt;1,$N$3,0)</f>
        <v>0</v>
      </c>
      <c r="P18" t="str">
        <f>Personal!E40</f>
        <v/>
      </c>
      <c r="Q18">
        <f>Personal!N40</f>
        <v>0</v>
      </c>
    </row>
    <row r="19" spans="1:17" x14ac:dyDescent="0.35">
      <c r="B19">
        <v>17</v>
      </c>
      <c r="C19" s="364">
        <f t="shared" si="0"/>
        <v>487</v>
      </c>
      <c r="D19" s="367">
        <f>IF(menu!$I$47&gt;1,$M$3,0)</f>
        <v>0</v>
      </c>
      <c r="E19" s="367">
        <f>IF(menu!$I$47&gt;1,$N$3,0)</f>
        <v>0</v>
      </c>
    </row>
    <row r="20" spans="1:17" x14ac:dyDescent="0.35">
      <c r="B20">
        <v>18</v>
      </c>
      <c r="C20" s="364">
        <f t="shared" si="0"/>
        <v>518</v>
      </c>
      <c r="D20" s="367">
        <f>IF(menu!$I$47&gt;1,$M$3,0)</f>
        <v>0</v>
      </c>
      <c r="E20" s="367">
        <f>IF(menu!$I$47&gt;1,$N$3,0)</f>
        <v>0</v>
      </c>
    </row>
    <row r="21" spans="1:17" x14ac:dyDescent="0.35">
      <c r="B21">
        <v>19</v>
      </c>
      <c r="C21" s="364">
        <f t="shared" si="0"/>
        <v>548</v>
      </c>
      <c r="D21" s="367">
        <f>IF(menu!$I$47&gt;1,$M$3,0)</f>
        <v>0</v>
      </c>
      <c r="E21" s="367">
        <f>IF(menu!$I$47&gt;1,$N$3,0)</f>
        <v>0</v>
      </c>
    </row>
    <row r="22" spans="1:17" x14ac:dyDescent="0.35">
      <c r="B22">
        <v>20</v>
      </c>
      <c r="C22" s="364">
        <f t="shared" si="0"/>
        <v>579</v>
      </c>
      <c r="D22" s="367">
        <f>IF(menu!$I$47&gt;1,$M$3,0)</f>
        <v>0</v>
      </c>
      <c r="E22" s="367">
        <f>IF(menu!$I$47&gt;1,$N$3,0)</f>
        <v>0</v>
      </c>
    </row>
    <row r="23" spans="1:17" x14ac:dyDescent="0.35">
      <c r="B23">
        <v>21</v>
      </c>
      <c r="C23" s="364">
        <f t="shared" si="0"/>
        <v>610</v>
      </c>
      <c r="D23" s="367">
        <f>IF(menu!$I$47&gt;1,$M$3,0)</f>
        <v>0</v>
      </c>
      <c r="E23" s="367">
        <f>IF(menu!$I$47&gt;1,$N$3,0)</f>
        <v>0</v>
      </c>
    </row>
    <row r="24" spans="1:17" x14ac:dyDescent="0.35">
      <c r="B24">
        <v>22</v>
      </c>
      <c r="C24" s="364">
        <f t="shared" si="0"/>
        <v>640</v>
      </c>
      <c r="D24" s="367">
        <f>IF(menu!$I$47&gt;1,$M$3,0)</f>
        <v>0</v>
      </c>
      <c r="E24" s="367">
        <f>IF(menu!$I$47&gt;1,$N$3,0)</f>
        <v>0</v>
      </c>
    </row>
    <row r="25" spans="1:17" x14ac:dyDescent="0.35">
      <c r="B25">
        <v>23</v>
      </c>
      <c r="C25" s="364">
        <f t="shared" si="0"/>
        <v>671</v>
      </c>
      <c r="D25" s="367">
        <f>IF(menu!$I$47&gt;1,$M$3,0)</f>
        <v>0</v>
      </c>
      <c r="E25" s="367">
        <f>IF(menu!$I$47&gt;1,$N$3,0)</f>
        <v>0</v>
      </c>
    </row>
    <row r="26" spans="1:17" x14ac:dyDescent="0.35">
      <c r="B26" s="211">
        <v>24</v>
      </c>
      <c r="C26" s="366">
        <f>IF(AND(menu!I47=2,DAY(D1)&lt;&gt;1),DATE(YEAR(C25),MONTH(C25)+1,DAY(C3)-1),DATE(YEAR(C25),MONTH(C25)+1,DAY(C25)))</f>
        <v>701</v>
      </c>
      <c r="D26" s="367">
        <f>IF(menu!$I$47&gt;1,$M$3,0)</f>
        <v>0</v>
      </c>
      <c r="E26" s="367">
        <f>IF(menu!$I$47&gt;1,$N$3,0)</f>
        <v>0</v>
      </c>
      <c r="I26">
        <f>IF(menu!I47=2,ROUND(1-I3,1),0)</f>
        <v>0</v>
      </c>
    </row>
    <row r="27" spans="1:17" x14ac:dyDescent="0.35">
      <c r="A27" s="329" t="s">
        <v>482</v>
      </c>
      <c r="B27" s="329">
        <v>25</v>
      </c>
      <c r="C27" s="369">
        <f t="shared" si="0"/>
        <v>732</v>
      </c>
      <c r="D27" s="370">
        <f>IF(menu!$I$47&gt;2,M4,IF(DAY(D1)&lt;&gt;1,M3*I26,0))</f>
        <v>0</v>
      </c>
      <c r="E27" s="370">
        <f>IF(menu!$I$47&gt;2,N4,IF(DAY(D1)&lt;&gt;1,N3*I26,0))</f>
        <v>0</v>
      </c>
    </row>
    <row r="28" spans="1:17" x14ac:dyDescent="0.35">
      <c r="B28">
        <v>26</v>
      </c>
      <c r="C28" s="364">
        <f>DATE(YEAR(C27),MONTH(C27)+1,DAY(C27))</f>
        <v>763</v>
      </c>
      <c r="D28" s="367">
        <f>IF(menu!$I$47&gt;2,$M$4,0)</f>
        <v>0</v>
      </c>
      <c r="E28" s="367">
        <f>IF(menu!$I$47&gt;2,$N$4,0)</f>
        <v>0</v>
      </c>
    </row>
    <row r="29" spans="1:17" x14ac:dyDescent="0.35">
      <c r="B29">
        <v>27</v>
      </c>
      <c r="C29" s="364">
        <f t="shared" si="0"/>
        <v>791</v>
      </c>
      <c r="D29" s="367">
        <f>IF(menu!$I$47&gt;2,$M$4,0)</f>
        <v>0</v>
      </c>
      <c r="E29" s="367">
        <f>IF(menu!$I$47&gt;2,$N$4,0)</f>
        <v>0</v>
      </c>
    </row>
    <row r="30" spans="1:17" x14ac:dyDescent="0.35">
      <c r="B30">
        <v>28</v>
      </c>
      <c r="C30" s="364">
        <f t="shared" si="0"/>
        <v>822</v>
      </c>
      <c r="D30" s="367">
        <f>IF(menu!$I$47&gt;2,$M$4,0)</f>
        <v>0</v>
      </c>
      <c r="E30" s="367">
        <f>IF(menu!$I$47&gt;2,$N$4,0)</f>
        <v>0</v>
      </c>
    </row>
    <row r="31" spans="1:17" x14ac:dyDescent="0.35">
      <c r="B31">
        <v>29</v>
      </c>
      <c r="C31" s="364">
        <f t="shared" si="0"/>
        <v>852</v>
      </c>
      <c r="D31" s="367">
        <f>IF(menu!$I$47&gt;2,$M$4,0)</f>
        <v>0</v>
      </c>
      <c r="E31" s="367">
        <f>IF(menu!$I$47&gt;2,$N$4,0)</f>
        <v>0</v>
      </c>
    </row>
    <row r="32" spans="1:17" x14ac:dyDescent="0.35">
      <c r="B32">
        <v>30</v>
      </c>
      <c r="C32" s="364">
        <f t="shared" si="0"/>
        <v>883</v>
      </c>
      <c r="D32" s="367">
        <f>IF(menu!$I$47&gt;2,$M$4,0)</f>
        <v>0</v>
      </c>
      <c r="E32" s="367">
        <f>IF(menu!$I$47&gt;2,$N$4,0)</f>
        <v>0</v>
      </c>
    </row>
    <row r="33" spans="1:9" x14ac:dyDescent="0.35">
      <c r="B33">
        <v>31</v>
      </c>
      <c r="C33" s="364">
        <f t="shared" si="0"/>
        <v>913</v>
      </c>
      <c r="D33" s="367">
        <f>IF(menu!$I$47&gt;2,$M$4,0)</f>
        <v>0</v>
      </c>
      <c r="E33" s="367">
        <f>IF(menu!$I$47&gt;2,$N$4,0)</f>
        <v>0</v>
      </c>
    </row>
    <row r="34" spans="1:9" x14ac:dyDescent="0.35">
      <c r="B34">
        <v>32</v>
      </c>
      <c r="C34" s="364">
        <f t="shared" si="0"/>
        <v>944</v>
      </c>
      <c r="D34" s="367">
        <f>IF(menu!$I$47&gt;2,$M$4,0)</f>
        <v>0</v>
      </c>
      <c r="E34" s="367">
        <f>IF(menu!$I$47&gt;2,$N$4,0)</f>
        <v>0</v>
      </c>
    </row>
    <row r="35" spans="1:9" x14ac:dyDescent="0.35">
      <c r="B35">
        <v>33</v>
      </c>
      <c r="C35" s="364">
        <f t="shared" si="0"/>
        <v>975</v>
      </c>
      <c r="D35" s="367">
        <f>IF(menu!$I$47&gt;2,$M$4,0)</f>
        <v>0</v>
      </c>
      <c r="E35" s="367">
        <f>IF(menu!$I$47&gt;2,$N$4,0)</f>
        <v>0</v>
      </c>
    </row>
    <row r="36" spans="1:9" x14ac:dyDescent="0.35">
      <c r="B36">
        <v>34</v>
      </c>
      <c r="C36" s="364">
        <f t="shared" si="0"/>
        <v>1005</v>
      </c>
      <c r="D36" s="367">
        <f>IF(menu!$I$47&gt;2,$M$4,0)</f>
        <v>0</v>
      </c>
      <c r="E36" s="367">
        <f>IF(menu!$I$47&gt;2,$N$4,0)</f>
        <v>0</v>
      </c>
    </row>
    <row r="37" spans="1:9" x14ac:dyDescent="0.35">
      <c r="B37">
        <v>35</v>
      </c>
      <c r="C37" s="364">
        <f t="shared" si="0"/>
        <v>1036</v>
      </c>
      <c r="D37" s="367">
        <f>IF(menu!$I$47&gt;2,$M$4,0)</f>
        <v>0</v>
      </c>
      <c r="E37" s="367">
        <f>IF(menu!$I$47&gt;2,$N$4,0)</f>
        <v>0</v>
      </c>
    </row>
    <row r="38" spans="1:9" x14ac:dyDescent="0.35">
      <c r="B38" s="211">
        <v>36</v>
      </c>
      <c r="C38" s="364">
        <f t="shared" si="0"/>
        <v>1066</v>
      </c>
      <c r="D38" s="367">
        <f>IF(menu!$I$47&gt;2,$M$4,0)</f>
        <v>0</v>
      </c>
      <c r="E38" s="367">
        <f>IF(menu!$I$47&gt;2,$N$4,0)</f>
        <v>0</v>
      </c>
      <c r="I38">
        <f>IF(menu!I47=3,1-I3,0)</f>
        <v>0</v>
      </c>
    </row>
    <row r="39" spans="1:9" x14ac:dyDescent="0.35">
      <c r="A39" s="329"/>
      <c r="B39" s="372">
        <v>37</v>
      </c>
      <c r="C39" s="373">
        <f>IF(menu!I47=3,DATE(YEAR(C38),MONTH(C38)+1,DAY(C3)-1),DATE(YEAR(C38),MONTH(C38)+1,DAY(C38)))</f>
        <v>1097</v>
      </c>
      <c r="D39" s="371">
        <f>IF(menu!$I$47&gt;3,M4,IF(DAY(D1)&lt;&gt;1,M4*I38,0))</f>
        <v>0</v>
      </c>
      <c r="E39" s="371">
        <f>IF(menu!$I$47&gt;3,N4,IF(DAY(D1)&lt;&gt;1,N4*I38,0))</f>
        <v>0</v>
      </c>
    </row>
  </sheetData>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tabColor rgb="FFE3B5A2"/>
    <pageSetUpPr fitToPage="1"/>
  </sheetPr>
  <dimension ref="B1:AG79"/>
  <sheetViews>
    <sheetView showGridLines="0" showRowColHeaders="0" view="pageBreakPreview" zoomScaleNormal="100" zoomScaleSheetLayoutView="100" workbookViewId="0">
      <selection activeCell="E10" sqref="E10:G10"/>
    </sheetView>
  </sheetViews>
  <sheetFormatPr baseColWidth="10" defaultColWidth="11.453125" defaultRowHeight="11.5" x14ac:dyDescent="0.25"/>
  <cols>
    <col min="1" max="1" width="2.26953125" style="1" customWidth="1"/>
    <col min="2" max="2" width="2.1796875" style="1" customWidth="1"/>
    <col min="3" max="3" width="13.26953125" style="1" customWidth="1"/>
    <col min="4" max="4" width="9" style="1" customWidth="1"/>
    <col min="5" max="5" width="13.26953125" style="1" customWidth="1"/>
    <col min="6" max="6" width="13.81640625" style="1" customWidth="1"/>
    <col min="7" max="7" width="13.26953125" style="1" customWidth="1"/>
    <col min="8" max="8" width="3" style="1" customWidth="1"/>
    <col min="9" max="9" width="4.26953125" style="1" customWidth="1"/>
    <col min="10" max="10" width="4.7265625" style="1" customWidth="1"/>
    <col min="11" max="11" width="1.81640625" style="1" customWidth="1"/>
    <col min="12" max="12" width="4.26953125" style="1" customWidth="1"/>
    <col min="13" max="13" width="10.54296875" style="1" customWidth="1"/>
    <col min="14" max="14" width="2.453125" style="1" customWidth="1"/>
    <col min="15" max="15" width="8.81640625" style="1" customWidth="1"/>
    <col min="16" max="16" width="3.453125" style="1" customWidth="1"/>
    <col min="17" max="17" width="3.54296875" style="1" customWidth="1"/>
    <col min="18" max="18" width="2.26953125" style="1" customWidth="1"/>
    <col min="19" max="19" width="11.453125" style="1"/>
    <col min="20" max="20" width="14.1796875" style="1" customWidth="1"/>
    <col min="21" max="21" width="5.7265625" style="1" customWidth="1"/>
    <col min="22" max="22" width="12.54296875" style="1" customWidth="1"/>
    <col min="23" max="31" width="5.7265625" style="1" customWidth="1"/>
    <col min="32" max="16384" width="11.453125" style="1"/>
  </cols>
  <sheetData>
    <row r="1" spans="3:24" ht="7.5" customHeight="1" x14ac:dyDescent="0.25"/>
    <row r="2" spans="3:24" ht="8.25" customHeight="1" x14ac:dyDescent="0.25"/>
    <row r="3" spans="3:24" ht="17.25" customHeight="1" x14ac:dyDescent="0.25">
      <c r="C3" s="614" t="s">
        <v>23</v>
      </c>
      <c r="D3" s="614"/>
      <c r="E3" s="615"/>
      <c r="F3" s="615"/>
      <c r="G3" s="615"/>
      <c r="L3" s="19"/>
      <c r="M3" s="29" t="s">
        <v>63</v>
      </c>
      <c r="Q3" s="29"/>
      <c r="R3" s="29"/>
    </row>
    <row r="4" spans="3:24" ht="17.25" customHeight="1" x14ac:dyDescent="0.25">
      <c r="C4" s="614"/>
      <c r="D4" s="614"/>
      <c r="E4" s="615"/>
      <c r="F4" s="615"/>
      <c r="G4" s="615"/>
      <c r="L4" s="165"/>
      <c r="M4" s="40" t="s">
        <v>62</v>
      </c>
      <c r="Q4" s="30"/>
      <c r="R4" s="30"/>
    </row>
    <row r="5" spans="3:24" ht="17.25" customHeight="1" x14ac:dyDescent="0.25">
      <c r="C5" s="625" t="str">
        <f>Basisdaten!C6</f>
        <v/>
      </c>
      <c r="D5" s="625"/>
      <c r="E5" s="625"/>
      <c r="F5" s="625"/>
      <c r="G5" s="625"/>
      <c r="L5" s="21"/>
      <c r="M5" s="40" t="s">
        <v>416</v>
      </c>
      <c r="Q5" s="29"/>
      <c r="R5" s="29"/>
      <c r="T5" s="43"/>
    </row>
    <row r="6" spans="3:24" ht="17.25" customHeight="1" x14ac:dyDescent="0.25">
      <c r="C6" s="625"/>
      <c r="D6" s="625"/>
      <c r="E6" s="625"/>
      <c r="F6" s="625"/>
      <c r="G6" s="625"/>
      <c r="L6" s="22"/>
      <c r="M6" s="40" t="s">
        <v>48</v>
      </c>
      <c r="Q6" s="29"/>
      <c r="R6" s="29"/>
      <c r="T6" s="43"/>
    </row>
    <row r="7" spans="3:24" ht="17.25" customHeight="1" thickBot="1" x14ac:dyDescent="0.3">
      <c r="C7" s="620" t="s">
        <v>463</v>
      </c>
      <c r="D7" s="620"/>
      <c r="E7" s="620"/>
      <c r="L7" s="24"/>
      <c r="M7" s="40" t="s">
        <v>49</v>
      </c>
      <c r="Q7" s="29"/>
      <c r="R7" s="29"/>
      <c r="T7" s="43"/>
    </row>
    <row r="8" spans="3:24" ht="16.5" customHeight="1" thickBot="1" x14ac:dyDescent="0.3">
      <c r="C8" s="618" t="s">
        <v>60</v>
      </c>
      <c r="D8" s="619"/>
      <c r="E8" s="338" t="str">
        <f>IF(Basisdaten!I36&lt;&gt;0,Basisdaten!I36," ")</f>
        <v xml:space="preserve"> </v>
      </c>
      <c r="F8" s="36" t="s">
        <v>64</v>
      </c>
      <c r="G8" s="42" t="str">
        <f>IF(Basisdaten!L36&lt;&gt;0,Basisdaten!L36," ")</f>
        <v/>
      </c>
      <c r="H8" s="623" t="e">
        <f>IF(OR(Basisdaten!#REF!=menu!A97,Basisdaten!#REF!=menu!A97),"Bitte füllen Sie das Blatt 'Basisdaten' aus.","")</f>
        <v>#REF!</v>
      </c>
      <c r="I8" s="624"/>
      <c r="J8" s="624"/>
      <c r="K8" s="624"/>
      <c r="L8" s="624"/>
      <c r="M8" s="624"/>
      <c r="N8" s="624"/>
      <c r="O8" s="624"/>
      <c r="P8" s="624"/>
    </row>
    <row r="9" spans="3:24" ht="4.9000000000000004" customHeight="1" thickBot="1" x14ac:dyDescent="0.3">
      <c r="C9" s="8"/>
      <c r="D9" s="8"/>
      <c r="E9" s="157"/>
      <c r="F9" s="9"/>
      <c r="G9" s="152"/>
      <c r="J9" s="51"/>
      <c r="K9" s="40"/>
      <c r="N9" s="29"/>
      <c r="O9" s="29"/>
    </row>
    <row r="10" spans="3:24" ht="16.5" customHeight="1" thickBot="1" x14ac:dyDescent="0.3">
      <c r="C10" s="618" t="s">
        <v>464</v>
      </c>
      <c r="D10" s="619"/>
      <c r="E10" s="616" t="s">
        <v>68</v>
      </c>
      <c r="F10" s="616"/>
      <c r="G10" s="617"/>
      <c r="J10" s="51"/>
      <c r="K10" s="40"/>
      <c r="N10" s="29"/>
      <c r="O10" s="29"/>
      <c r="Q10" s="9">
        <f>IF(AND(menu!U4=TRUE,E10="bitte auswählen"),1,0)</f>
        <v>1</v>
      </c>
      <c r="S10" s="43"/>
      <c r="T10" s="560"/>
      <c r="U10" s="560"/>
      <c r="V10" s="560"/>
      <c r="W10" s="560"/>
      <c r="X10" s="560"/>
    </row>
    <row r="11" spans="3:24" ht="4.9000000000000004" customHeight="1" thickBot="1" x14ac:dyDescent="0.3">
      <c r="C11" s="8"/>
      <c r="D11" s="8"/>
      <c r="E11" s="157"/>
      <c r="F11" s="9"/>
      <c r="G11" s="152"/>
      <c r="J11" s="51"/>
      <c r="K11" s="40"/>
      <c r="N11" s="29"/>
      <c r="O11" s="29"/>
      <c r="T11" s="560"/>
      <c r="U11" s="560"/>
      <c r="V11" s="560"/>
      <c r="W11" s="560"/>
      <c r="X11" s="560"/>
    </row>
    <row r="12" spans="3:24" ht="16.5" customHeight="1" thickBot="1" x14ac:dyDescent="0.3">
      <c r="C12" s="618" t="s">
        <v>447</v>
      </c>
      <c r="D12" s="619"/>
      <c r="E12" s="361"/>
      <c r="F12" s="623" t="str">
        <f>IF(AND(E12&lt;menu!B194,menu!$I$21=1),"Wir empfehlen Ihnen die Stellenausschreibung frühestens zum "&amp;menu!C194&amp;" zu veröffentlichen.",IF(AND(E12&gt;E8,menu!$I$21=1),"Das Datum der Ausschreibung muss vor dem geplanten Dienstantritt liegen!",""))</f>
        <v>Wir empfehlen Ihnen die Stellenausschreibung frühestens zum ... zu veröffentlichen.</v>
      </c>
      <c r="G12" s="624"/>
      <c r="H12" s="624"/>
      <c r="I12" s="624"/>
      <c r="J12" s="624"/>
      <c r="K12" s="624"/>
      <c r="L12" s="624"/>
      <c r="M12" s="624"/>
      <c r="N12" s="624"/>
      <c r="O12" s="624"/>
      <c r="P12" s="624"/>
      <c r="Q12" s="9">
        <f ca="1">IF(AND(menu!I21=1,E12=0),1,IF(OR((AND(E12&lt;TODAY(),menu!I21=1)),(AND(E12&gt;E8,menu!$I$21=1))),1,IF(AND(E12&lt;menu!B194,menu!$I$21=1),0.5,0)))</f>
        <v>1</v>
      </c>
      <c r="T12" s="560"/>
      <c r="U12" s="560"/>
      <c r="V12" s="560"/>
      <c r="W12" s="560"/>
      <c r="X12" s="560"/>
    </row>
    <row r="13" spans="3:24" ht="4.9000000000000004" customHeight="1" thickBot="1" x14ac:dyDescent="0.3">
      <c r="C13" s="8"/>
      <c r="D13" s="8"/>
      <c r="E13" s="157"/>
      <c r="F13" s="9"/>
      <c r="G13" s="152"/>
      <c r="J13" s="51"/>
      <c r="K13" s="40"/>
      <c r="N13" s="29"/>
      <c r="O13" s="29"/>
      <c r="T13" s="560"/>
      <c r="U13" s="560"/>
      <c r="V13" s="560"/>
      <c r="W13" s="560"/>
      <c r="X13" s="560"/>
    </row>
    <row r="14" spans="3:24" ht="39" customHeight="1" thickBot="1" x14ac:dyDescent="0.3">
      <c r="C14" s="336"/>
      <c r="D14" s="626" t="str">
        <f>IF(Personal!E10=menu!A125,Texte!C33,Texte!C34)</f>
        <v>Wir bestätigen, dass bei der Stellenausschreibung ausgewiesen wurde/wird, dass die Besetzung nur bei Bewilligung der beantragten Zuwendung erfolgt.</v>
      </c>
      <c r="E14" s="626"/>
      <c r="F14" s="626"/>
      <c r="G14" s="626"/>
      <c r="H14" s="626"/>
      <c r="I14" s="626"/>
      <c r="J14" s="626"/>
      <c r="K14" s="626"/>
      <c r="L14" s="626"/>
      <c r="M14" s="626"/>
      <c r="N14" s="626"/>
      <c r="O14" s="626"/>
      <c r="P14" s="627"/>
      <c r="Q14" s="9">
        <f>IF(AND(E8&lt;&gt;"",menu!B45=FALSE),1,0)</f>
        <v>1</v>
      </c>
      <c r="T14" s="560"/>
      <c r="U14" s="560"/>
      <c r="V14" s="560"/>
      <c r="W14" s="560"/>
      <c r="X14" s="560"/>
    </row>
    <row r="15" spans="3:24" ht="4.9000000000000004" customHeight="1" thickBot="1" x14ac:dyDescent="0.3">
      <c r="T15" s="560"/>
      <c r="U15" s="560"/>
      <c r="V15" s="560"/>
      <c r="W15" s="560"/>
      <c r="X15" s="560"/>
    </row>
    <row r="16" spans="3:24" ht="40.5" customHeight="1" thickBot="1" x14ac:dyDescent="0.3">
      <c r="C16" s="336"/>
      <c r="D16" s="626" t="str">
        <f>IF(Personal!E10=menu!A125,Texte!B33,Texte!B34)</f>
        <v xml:space="preserve">Wir bestätigen, dass es sich bei der/dem beantragten Projektstelle(n) um zusätzlich geschaffene und auf den Förderzeitraum befristete Projektstelle(n) handelt, welche öffentlich ausgeschrieben wird/werden.
Zuwendungsfähig sind nur zusätzlich entstehende Personalausgaben. </v>
      </c>
      <c r="E16" s="626"/>
      <c r="F16" s="626"/>
      <c r="G16" s="626"/>
      <c r="H16" s="626"/>
      <c r="I16" s="626"/>
      <c r="J16" s="626"/>
      <c r="K16" s="626"/>
      <c r="L16" s="626"/>
      <c r="M16" s="626"/>
      <c r="N16" s="626"/>
      <c r="O16" s="626"/>
      <c r="P16" s="627"/>
      <c r="Q16" s="9">
        <f>IF(AND(E8&lt;&gt;"",menu!B46=FALSE),1,0)</f>
        <v>1</v>
      </c>
      <c r="T16" s="560"/>
      <c r="U16" s="560"/>
      <c r="V16" s="560"/>
      <c r="W16" s="560"/>
      <c r="X16" s="560"/>
    </row>
    <row r="17" spans="3:33" ht="4.9000000000000004" customHeight="1" thickBot="1" x14ac:dyDescent="0.3"/>
    <row r="18" spans="3:33" ht="16.5" customHeight="1" thickBot="1" x14ac:dyDescent="0.3">
      <c r="C18" s="621" t="s">
        <v>122</v>
      </c>
      <c r="D18" s="622"/>
      <c r="E18" s="616" t="s">
        <v>68</v>
      </c>
      <c r="F18" s="616"/>
      <c r="G18" s="617"/>
      <c r="J18" s="51"/>
      <c r="K18" s="40"/>
      <c r="N18" s="29"/>
      <c r="O18" s="29"/>
      <c r="Q18" s="9">
        <f>IF(AND(menu!U4=TRUE,E18="bitte auswählen"),1,0)</f>
        <v>1</v>
      </c>
    </row>
    <row r="19" spans="3:33" ht="4.9000000000000004" customHeight="1" x14ac:dyDescent="0.25">
      <c r="C19" s="49"/>
      <c r="D19" s="49"/>
      <c r="E19" s="49"/>
      <c r="J19" s="51"/>
      <c r="K19" s="40"/>
      <c r="N19" s="29"/>
      <c r="O19" s="29"/>
    </row>
    <row r="20" spans="3:33" ht="13" thickBot="1" x14ac:dyDescent="0.3">
      <c r="C20" s="700" t="s">
        <v>191</v>
      </c>
      <c r="D20" s="700"/>
      <c r="E20" s="700"/>
      <c r="P20" s="20"/>
    </row>
    <row r="21" spans="3:33" ht="16.5" customHeight="1" x14ac:dyDescent="0.35">
      <c r="C21" s="698" t="s">
        <v>298</v>
      </c>
      <c r="D21" s="710"/>
      <c r="E21" s="26" t="s">
        <v>0</v>
      </c>
      <c r="F21" s="26" t="s">
        <v>190</v>
      </c>
      <c r="G21" s="26" t="s">
        <v>1</v>
      </c>
      <c r="H21" s="680" t="s">
        <v>294</v>
      </c>
      <c r="I21" s="702"/>
      <c r="J21" s="702"/>
      <c r="K21" s="702"/>
      <c r="L21" s="680" t="s">
        <v>2</v>
      </c>
      <c r="M21" s="706"/>
      <c r="N21" s="708" t="s">
        <v>31</v>
      </c>
      <c r="O21" s="708"/>
      <c r="P21" s="709"/>
      <c r="Q21" s="3"/>
      <c r="R21" s="3"/>
      <c r="T21" s="409"/>
      <c r="U21" s="11"/>
      <c r="V21" s="11"/>
      <c r="W21" s="11"/>
      <c r="X21" s="11"/>
      <c r="Y21" s="11"/>
      <c r="Z21" s="11"/>
      <c r="AA21" s="11"/>
      <c r="AB21" s="11"/>
      <c r="AC21" s="11"/>
      <c r="AD21" s="11"/>
      <c r="AE21" s="11"/>
      <c r="AF21" s="11"/>
      <c r="AG21" s="11"/>
    </row>
    <row r="22" spans="3:33" ht="16.5" customHeight="1" x14ac:dyDescent="0.25">
      <c r="C22" s="694" t="s">
        <v>3</v>
      </c>
      <c r="D22" s="695"/>
      <c r="E22" s="360" t="s">
        <v>68</v>
      </c>
      <c r="F22" s="360" t="s">
        <v>68</v>
      </c>
      <c r="G22" s="359"/>
      <c r="H22" s="703"/>
      <c r="I22" s="704"/>
      <c r="J22" s="704"/>
      <c r="K22" s="704"/>
      <c r="L22" s="703"/>
      <c r="M22" s="707"/>
      <c r="N22" s="691">
        <f>H22+L22</f>
        <v>0</v>
      </c>
      <c r="O22" s="691"/>
      <c r="P22" s="692"/>
      <c r="Q22" s="9">
        <f>IF(AND(menu!$U$4=TRUE,OR(E22="bitte auswählen",F22="bitte auswählen",G22=0,H22=0,menu!B235=1,menu!C235=1,L22="")),1,0)</f>
        <v>1</v>
      </c>
      <c r="R22" s="4"/>
      <c r="T22" s="705" t="s">
        <v>524</v>
      </c>
      <c r="U22" s="705"/>
      <c r="V22" s="705"/>
      <c r="W22" s="705"/>
      <c r="X22" s="705"/>
      <c r="Y22" s="705"/>
      <c r="Z22" s="11"/>
      <c r="AA22" s="11"/>
      <c r="AB22" s="11"/>
      <c r="AC22" s="11"/>
      <c r="AD22" s="11"/>
      <c r="AE22" s="11"/>
      <c r="AF22" s="11"/>
      <c r="AG22" s="11"/>
    </row>
    <row r="23" spans="3:33" ht="16.5" customHeight="1" x14ac:dyDescent="0.25">
      <c r="C23" s="694" t="s">
        <v>4</v>
      </c>
      <c r="D23" s="695"/>
      <c r="E23" s="54" t="s">
        <v>68</v>
      </c>
      <c r="F23" s="55" t="s">
        <v>68</v>
      </c>
      <c r="G23" s="31"/>
      <c r="H23" s="632"/>
      <c r="I23" s="633"/>
      <c r="J23" s="633"/>
      <c r="K23" s="633"/>
      <c r="L23" s="632"/>
      <c r="M23" s="690"/>
      <c r="N23" s="691">
        <f>H23+L23</f>
        <v>0</v>
      </c>
      <c r="O23" s="691"/>
      <c r="P23" s="692"/>
      <c r="Q23" s="9">
        <f>IF(AND(menu!$U$4=TRUE,N23&lt;&gt;0,OR(E23="bitte auswählen",F23="bitte auswählen",G23=0,H23=0,menu!$I$21=0,menu!B236=1,menu!C235=1,L23="")),1,0)</f>
        <v>0</v>
      </c>
      <c r="R23" s="4"/>
      <c r="T23" s="705"/>
      <c r="U23" s="705"/>
      <c r="V23" s="705"/>
      <c r="W23" s="705"/>
      <c r="X23" s="705"/>
      <c r="Y23" s="705"/>
      <c r="Z23" s="11"/>
      <c r="AA23" s="11"/>
      <c r="AB23" s="11"/>
      <c r="AC23" s="11"/>
      <c r="AD23" s="11"/>
      <c r="AE23" s="11"/>
      <c r="AF23" s="11"/>
      <c r="AG23" s="11"/>
    </row>
    <row r="24" spans="3:33" ht="16.5" customHeight="1" x14ac:dyDescent="0.25">
      <c r="C24" s="694" t="s">
        <v>5</v>
      </c>
      <c r="D24" s="695"/>
      <c r="E24" s="54" t="s">
        <v>68</v>
      </c>
      <c r="F24" s="55" t="s">
        <v>68</v>
      </c>
      <c r="G24" s="31"/>
      <c r="H24" s="632"/>
      <c r="I24" s="633"/>
      <c r="J24" s="633"/>
      <c r="K24" s="633"/>
      <c r="L24" s="632"/>
      <c r="M24" s="690"/>
      <c r="N24" s="691">
        <f>H24+L24</f>
        <v>0</v>
      </c>
      <c r="O24" s="691"/>
      <c r="P24" s="692"/>
      <c r="Q24" s="9">
        <f>IF(AND(menu!$U$4=TRUE,N24&lt;&gt;0,OR(E24="bitte auswählen",F24="bitte auswählen",G24=0,H24=0,menu!$I$21=0,menu!B237=1,menu!C236=1,L24="")),1,0)</f>
        <v>0</v>
      </c>
      <c r="R24" s="4"/>
      <c r="T24" s="705"/>
      <c r="U24" s="705"/>
      <c r="V24" s="705"/>
      <c r="W24" s="705"/>
      <c r="X24" s="705"/>
      <c r="Y24" s="705"/>
      <c r="Z24" s="11"/>
      <c r="AA24" s="11"/>
      <c r="AB24" s="11"/>
      <c r="AC24" s="11"/>
      <c r="AD24" s="11"/>
      <c r="AE24" s="11"/>
      <c r="AF24" s="11"/>
      <c r="AG24" s="11"/>
    </row>
    <row r="25" spans="3:33" ht="16.5" customHeight="1" x14ac:dyDescent="0.25">
      <c r="C25" s="694" t="s">
        <v>192</v>
      </c>
      <c r="D25" s="695"/>
      <c r="E25" s="54" t="s">
        <v>68</v>
      </c>
      <c r="F25" s="55" t="s">
        <v>68</v>
      </c>
      <c r="G25" s="31"/>
      <c r="H25" s="632"/>
      <c r="I25" s="633"/>
      <c r="J25" s="633"/>
      <c r="K25" s="633"/>
      <c r="L25" s="632"/>
      <c r="M25" s="690"/>
      <c r="N25" s="691">
        <f>H25+L25</f>
        <v>0</v>
      </c>
      <c r="O25" s="691"/>
      <c r="P25" s="692"/>
      <c r="Q25" s="9">
        <f>IF(AND(menu!$U$4=TRUE,N25&lt;&gt;0,OR(E25="bitte auswählen",F25="bitte auswählen",G25=0,H25=0,menu!$I$21=0,menu!B238=1,menu!C237=1,L25="")),1,0)</f>
        <v>0</v>
      </c>
      <c r="R25" s="4"/>
      <c r="T25" s="705"/>
      <c r="U25" s="705"/>
      <c r="V25" s="705"/>
      <c r="W25" s="705"/>
      <c r="X25" s="705"/>
      <c r="Y25" s="705"/>
      <c r="Z25" s="11"/>
      <c r="AA25" s="11"/>
      <c r="AB25" s="11"/>
      <c r="AC25" s="11"/>
      <c r="AD25" s="11"/>
      <c r="AE25" s="11"/>
      <c r="AF25" s="11"/>
      <c r="AG25" s="11"/>
    </row>
    <row r="26" spans="3:33" ht="16.5" customHeight="1" thickBot="1" x14ac:dyDescent="0.3">
      <c r="C26" s="688" t="s">
        <v>193</v>
      </c>
      <c r="D26" s="689"/>
      <c r="E26" s="54" t="s">
        <v>68</v>
      </c>
      <c r="F26" s="55" t="s">
        <v>68</v>
      </c>
      <c r="G26" s="31"/>
      <c r="H26" s="632"/>
      <c r="I26" s="633"/>
      <c r="J26" s="633"/>
      <c r="K26" s="633"/>
      <c r="L26" s="632"/>
      <c r="M26" s="690"/>
      <c r="N26" s="701">
        <f>H26+L26</f>
        <v>0</v>
      </c>
      <c r="O26" s="652"/>
      <c r="P26" s="653"/>
      <c r="Q26" s="9">
        <f>IF(AND(menu!$U$4=TRUE,N26&lt;&gt;0,OR(E26="bitte auswählen",F26="bitte auswählen",G26=0,H26=0,menu!$I$21=0,menu!B239=1,menu!C238=1,L26="")),1,0)</f>
        <v>0</v>
      </c>
      <c r="R26" s="4"/>
      <c r="T26" s="705"/>
      <c r="U26" s="705"/>
      <c r="V26" s="705"/>
      <c r="W26" s="705"/>
      <c r="X26" s="705"/>
      <c r="Y26" s="705"/>
      <c r="Z26" s="11"/>
      <c r="AA26" s="11"/>
      <c r="AB26" s="11"/>
      <c r="AC26" s="11"/>
      <c r="AD26" s="11"/>
      <c r="AE26" s="11"/>
      <c r="AF26" s="11"/>
      <c r="AG26" s="11"/>
    </row>
    <row r="27" spans="3:33" ht="4.9000000000000004" customHeight="1" thickBot="1" x14ac:dyDescent="0.3">
      <c r="C27" s="8"/>
      <c r="D27" s="8"/>
      <c r="E27" s="237"/>
      <c r="F27" s="238"/>
      <c r="G27" s="239"/>
      <c r="H27" s="240"/>
      <c r="I27" s="240"/>
      <c r="J27" s="240"/>
      <c r="K27" s="240"/>
      <c r="L27" s="240"/>
      <c r="M27" s="240"/>
      <c r="N27" s="240"/>
      <c r="O27" s="241"/>
      <c r="P27" s="241"/>
      <c r="Q27" s="9"/>
      <c r="R27" s="4"/>
      <c r="T27" s="705"/>
      <c r="U27" s="705"/>
      <c r="V27" s="705"/>
      <c r="W27" s="705"/>
      <c r="X27" s="705"/>
      <c r="Y27" s="705"/>
      <c r="Z27" s="11"/>
      <c r="AA27" s="11"/>
      <c r="AB27" s="11"/>
      <c r="AC27" s="11"/>
      <c r="AD27" s="11"/>
      <c r="AE27" s="11"/>
      <c r="AF27" s="11"/>
      <c r="AG27" s="11"/>
    </row>
    <row r="28" spans="3:33" ht="16.5" customHeight="1" thickBot="1" x14ac:dyDescent="0.3">
      <c r="C28" s="698" t="s">
        <v>299</v>
      </c>
      <c r="D28" s="699"/>
      <c r="E28" s="242"/>
      <c r="F28" s="243"/>
      <c r="G28" s="243"/>
      <c r="H28" s="244"/>
      <c r="I28" s="243"/>
      <c r="J28" s="244"/>
      <c r="K28" s="244"/>
      <c r="L28" s="244"/>
      <c r="M28" s="244"/>
      <c r="N28" s="244"/>
      <c r="O28" s="244"/>
      <c r="P28" s="244"/>
      <c r="Q28" s="9"/>
      <c r="R28" s="4"/>
      <c r="T28" s="705"/>
      <c r="U28" s="705"/>
      <c r="V28" s="705"/>
      <c r="W28" s="705"/>
      <c r="X28" s="705"/>
      <c r="Y28" s="705"/>
      <c r="Z28" s="11"/>
      <c r="AA28" s="11"/>
      <c r="AB28" s="11"/>
      <c r="AC28" s="11"/>
      <c r="AD28" s="11"/>
      <c r="AE28" s="11"/>
      <c r="AF28" s="11"/>
      <c r="AG28" s="11"/>
    </row>
    <row r="29" spans="3:33" ht="16.5" customHeight="1" x14ac:dyDescent="0.25">
      <c r="C29" s="694" t="s">
        <v>3</v>
      </c>
      <c r="D29" s="695"/>
      <c r="E29" s="195" t="str">
        <f t="shared" ref="E29" si="0">IF(E22="bitte auswählen","",E22)</f>
        <v/>
      </c>
      <c r="F29" s="195" t="str">
        <f>IF(F22="bitte auswählen","",F22)</f>
        <v/>
      </c>
      <c r="G29" s="31"/>
      <c r="H29" s="632"/>
      <c r="I29" s="633"/>
      <c r="J29" s="633"/>
      <c r="K29" s="633"/>
      <c r="L29" s="632"/>
      <c r="M29" s="690"/>
      <c r="N29" s="696">
        <f>H29+L29</f>
        <v>0</v>
      </c>
      <c r="O29" s="696"/>
      <c r="P29" s="697"/>
      <c r="Q29" s="9">
        <f>IF(AND(menu!$U$4=TRUE,OR(G29=0,H29=0,menu!$I$21=0,L29="")),IF(AND(Basisdaten!I36&lt;&gt;"",menu!$I$47&gt;1),1,0),0)</f>
        <v>0</v>
      </c>
      <c r="R29" s="4"/>
      <c r="T29" s="705"/>
      <c r="U29" s="705"/>
      <c r="V29" s="705"/>
      <c r="W29" s="705"/>
      <c r="X29" s="705"/>
      <c r="Y29" s="705"/>
      <c r="Z29" s="11"/>
      <c r="AA29" s="11"/>
      <c r="AB29" s="11"/>
      <c r="AC29" s="11"/>
      <c r="AD29" s="11"/>
      <c r="AE29" s="11"/>
      <c r="AF29" s="11"/>
      <c r="AG29" s="11"/>
    </row>
    <row r="30" spans="3:33" ht="16.5" customHeight="1" x14ac:dyDescent="0.25">
      <c r="C30" s="694" t="s">
        <v>4</v>
      </c>
      <c r="D30" s="695"/>
      <c r="E30" s="195" t="str">
        <f t="shared" ref="E30" si="1">IF(E23="bitte auswählen","",E23)</f>
        <v/>
      </c>
      <c r="F30" s="195" t="str">
        <f>IF(F23="bitte auswählen","",F23)</f>
        <v/>
      </c>
      <c r="G30" s="31"/>
      <c r="H30" s="632"/>
      <c r="I30" s="633"/>
      <c r="J30" s="633"/>
      <c r="K30" s="633"/>
      <c r="L30" s="632"/>
      <c r="M30" s="690"/>
      <c r="N30" s="691">
        <f>H30+L30</f>
        <v>0</v>
      </c>
      <c r="O30" s="691"/>
      <c r="P30" s="692"/>
      <c r="Q30" s="9">
        <f>IF(AND(menu!$U$4=TRUE,E30&lt;&gt;"",OR(G30=0,H30=0,menu!$I$21=0,L30="")),IF(AND(Basisdaten!I36&lt;&gt;"",menu!$I$47&gt;1),1,0),0)</f>
        <v>0</v>
      </c>
      <c r="R30" s="4"/>
      <c r="T30" s="11"/>
      <c r="U30" s="11"/>
      <c r="W30" s="11"/>
      <c r="X30" s="11"/>
      <c r="Y30" s="11"/>
      <c r="Z30" s="11"/>
      <c r="AA30" s="11"/>
      <c r="AB30" s="11"/>
      <c r="AC30" s="11"/>
      <c r="AD30" s="11"/>
      <c r="AE30" s="11"/>
      <c r="AF30" s="11"/>
      <c r="AG30" s="11"/>
    </row>
    <row r="31" spans="3:33" ht="16.5" customHeight="1" x14ac:dyDescent="0.25">
      <c r="C31" s="694" t="s">
        <v>5</v>
      </c>
      <c r="D31" s="695"/>
      <c r="E31" s="195" t="str">
        <f t="shared" ref="E31:F33" si="2">IF(E24="bitte auswählen","",E24)</f>
        <v/>
      </c>
      <c r="F31" s="195" t="str">
        <f t="shared" si="2"/>
        <v/>
      </c>
      <c r="G31" s="31"/>
      <c r="H31" s="632"/>
      <c r="I31" s="633"/>
      <c r="J31" s="633"/>
      <c r="K31" s="633"/>
      <c r="L31" s="632"/>
      <c r="M31" s="690"/>
      <c r="N31" s="691">
        <f>H31+L31</f>
        <v>0</v>
      </c>
      <c r="O31" s="691"/>
      <c r="P31" s="692"/>
      <c r="Q31" s="9">
        <f>IF(AND(menu!$U$4=TRUE,N31&lt;&gt;0,OR(G31=0,H31=0,menu!$I$21=0,L31="")),IF(AND(Basisdaten!I36&lt;&gt;"",menu!$I$47&gt;2),1,0),0)</f>
        <v>0</v>
      </c>
      <c r="R31" s="4"/>
      <c r="T31" s="11"/>
      <c r="U31" s="11"/>
      <c r="W31" s="11"/>
      <c r="X31" s="11"/>
      <c r="Y31" s="11"/>
      <c r="Z31" s="11"/>
      <c r="AA31" s="11"/>
      <c r="AB31" s="11"/>
      <c r="AC31" s="11"/>
      <c r="AD31" s="11"/>
      <c r="AE31" s="11"/>
      <c r="AF31" s="11"/>
      <c r="AG31" s="11"/>
    </row>
    <row r="32" spans="3:33" ht="16.5" customHeight="1" x14ac:dyDescent="0.25">
      <c r="C32" s="694" t="s">
        <v>192</v>
      </c>
      <c r="D32" s="695"/>
      <c r="E32" s="195" t="str">
        <f t="shared" si="2"/>
        <v/>
      </c>
      <c r="F32" s="195" t="str">
        <f t="shared" si="2"/>
        <v/>
      </c>
      <c r="G32" s="31"/>
      <c r="H32" s="632"/>
      <c r="I32" s="633"/>
      <c r="J32" s="633"/>
      <c r="K32" s="633"/>
      <c r="L32" s="632"/>
      <c r="M32" s="690"/>
      <c r="N32" s="691">
        <f>H32+L32</f>
        <v>0</v>
      </c>
      <c r="O32" s="691"/>
      <c r="P32" s="692"/>
      <c r="Q32" s="9">
        <f>IF(AND(menu!$U$4=TRUE,N32&lt;&gt;0,OR(G32=0,H32=0,menu!$I$21=0,L32="")),IF(AND(Basisdaten!I36&lt;&gt;"",menu!$I$47&gt;2),1,0),0)</f>
        <v>0</v>
      </c>
      <c r="R32" s="4"/>
      <c r="T32" s="11"/>
      <c r="U32" s="11"/>
      <c r="W32" s="11"/>
      <c r="X32" s="11"/>
      <c r="Y32" s="11"/>
      <c r="Z32" s="11"/>
      <c r="AA32" s="11"/>
      <c r="AB32" s="11"/>
      <c r="AC32" s="11"/>
      <c r="AD32" s="11"/>
      <c r="AE32" s="11"/>
      <c r="AF32" s="11"/>
      <c r="AG32" s="11"/>
    </row>
    <row r="33" spans="3:33" ht="16.5" customHeight="1" thickBot="1" x14ac:dyDescent="0.3">
      <c r="C33" s="688" t="s">
        <v>193</v>
      </c>
      <c r="D33" s="689"/>
      <c r="E33" s="196" t="str">
        <f t="shared" si="2"/>
        <v/>
      </c>
      <c r="F33" s="196" t="str">
        <f t="shared" si="2"/>
        <v/>
      </c>
      <c r="G33" s="32"/>
      <c r="H33" s="650"/>
      <c r="I33" s="693"/>
      <c r="J33" s="693"/>
      <c r="K33" s="693"/>
      <c r="L33" s="650"/>
      <c r="M33" s="651"/>
      <c r="N33" s="652">
        <f>H33+L33</f>
        <v>0</v>
      </c>
      <c r="O33" s="652"/>
      <c r="P33" s="653"/>
      <c r="Q33" s="9">
        <f>IF(AND(menu!$U$4=TRUE,N33&lt;&gt;0,OR(G33=0,H33=0,menu!$I$21=0,L33="")),IF(AND(Basisdaten!I36&lt;&gt;"",menu!$I$47&gt;2),1,0),0)</f>
        <v>0</v>
      </c>
      <c r="R33" s="4"/>
      <c r="T33" s="11"/>
      <c r="U33" s="11"/>
      <c r="W33" s="11"/>
      <c r="X33" s="11"/>
      <c r="Y33" s="11"/>
      <c r="Z33" s="11"/>
      <c r="AA33" s="11"/>
      <c r="AB33" s="11"/>
      <c r="AC33" s="11"/>
      <c r="AD33" s="11"/>
      <c r="AE33" s="11"/>
      <c r="AF33" s="11"/>
      <c r="AG33" s="11"/>
    </row>
    <row r="34" spans="3:33" ht="4.9000000000000004" customHeight="1" thickBot="1" x14ac:dyDescent="0.3">
      <c r="C34" s="8"/>
      <c r="D34" s="8"/>
      <c r="E34" s="245"/>
      <c r="F34" s="246"/>
      <c r="G34" s="9"/>
      <c r="H34" s="241"/>
      <c r="I34" s="241"/>
      <c r="J34" s="241"/>
      <c r="K34" s="241"/>
      <c r="L34" s="241"/>
      <c r="M34" s="241"/>
      <c r="N34" s="241"/>
      <c r="O34" s="241"/>
      <c r="P34" s="241"/>
      <c r="Q34" s="9"/>
      <c r="R34" s="4"/>
      <c r="T34" s="4"/>
    </row>
    <row r="35" spans="3:33" ht="16.5" customHeight="1" thickBot="1" x14ac:dyDescent="0.3">
      <c r="C35" s="698" t="s">
        <v>300</v>
      </c>
      <c r="D35" s="699"/>
      <c r="E35" s="242"/>
      <c r="F35" s="243"/>
      <c r="G35" s="243"/>
      <c r="H35" s="244"/>
      <c r="I35" s="243"/>
      <c r="J35" s="244"/>
      <c r="K35" s="244"/>
      <c r="L35" s="244"/>
      <c r="M35" s="244"/>
      <c r="N35" s="244"/>
      <c r="O35" s="244"/>
      <c r="P35" s="244"/>
      <c r="Q35" s="9"/>
      <c r="R35" s="4"/>
      <c r="T35" s="4"/>
    </row>
    <row r="36" spans="3:33" ht="16.5" customHeight="1" x14ac:dyDescent="0.25">
      <c r="C36" s="694" t="s">
        <v>3</v>
      </c>
      <c r="D36" s="695"/>
      <c r="E36" s="195" t="str">
        <f>E29</f>
        <v/>
      </c>
      <c r="F36" s="55" t="s">
        <v>68</v>
      </c>
      <c r="G36" s="31"/>
      <c r="H36" s="632"/>
      <c r="I36" s="633"/>
      <c r="J36" s="633"/>
      <c r="K36" s="633"/>
      <c r="L36" s="632"/>
      <c r="M36" s="690"/>
      <c r="N36" s="696">
        <f>H36+L36</f>
        <v>0</v>
      </c>
      <c r="O36" s="696"/>
      <c r="P36" s="697"/>
      <c r="Q36" s="9">
        <f>IF(AND(menu!$U$4=TRUE,OR(F36="bitte auswählen",G36=0,H36=0,menu!$I$21=0,L36="")),IF(AND(Basisdaten!I36&lt;&gt;"",menu!$I$47&gt;2),1,0),0)</f>
        <v>0</v>
      </c>
      <c r="R36" s="4"/>
      <c r="T36" s="4"/>
    </row>
    <row r="37" spans="3:33" ht="16.5" customHeight="1" x14ac:dyDescent="0.25">
      <c r="C37" s="694" t="s">
        <v>4</v>
      </c>
      <c r="D37" s="695"/>
      <c r="E37" s="195" t="str">
        <f t="shared" ref="E37:E40" si="3">E30</f>
        <v/>
      </c>
      <c r="F37" s="55" t="s">
        <v>68</v>
      </c>
      <c r="G37" s="31"/>
      <c r="H37" s="632"/>
      <c r="I37" s="633"/>
      <c r="J37" s="633"/>
      <c r="K37" s="633"/>
      <c r="L37" s="632"/>
      <c r="M37" s="690"/>
      <c r="N37" s="691">
        <f>H37+L37</f>
        <v>0</v>
      </c>
      <c r="O37" s="691"/>
      <c r="P37" s="692"/>
      <c r="Q37" s="9">
        <f>IF(AND(menu!$U$4=TRUE,N37&lt;&gt;0,OR(E37="bitte auswählen",F37="bitte auswählen",G37=0,H37=0,menu!$I$21=0,L37="")),1,0)</f>
        <v>0</v>
      </c>
      <c r="R37" s="4"/>
      <c r="T37" s="4"/>
    </row>
    <row r="38" spans="3:33" ht="16.5" customHeight="1" x14ac:dyDescent="0.25">
      <c r="C38" s="694" t="s">
        <v>5</v>
      </c>
      <c r="D38" s="695"/>
      <c r="E38" s="195" t="str">
        <f t="shared" si="3"/>
        <v/>
      </c>
      <c r="F38" s="55" t="s">
        <v>68</v>
      </c>
      <c r="G38" s="31"/>
      <c r="H38" s="632"/>
      <c r="I38" s="633"/>
      <c r="J38" s="633"/>
      <c r="K38" s="633"/>
      <c r="L38" s="632"/>
      <c r="M38" s="690"/>
      <c r="N38" s="691">
        <f>H38+L38</f>
        <v>0</v>
      </c>
      <c r="O38" s="691"/>
      <c r="P38" s="692"/>
      <c r="Q38" s="9">
        <f>IF(AND(menu!$U$4=TRUE,N38&lt;&gt;0,OR(E38="bitte auswählen",F38="bitte auswählen",G38=0,H38=0,menu!$I$21=0,L38="")),1,0)</f>
        <v>0</v>
      </c>
      <c r="R38" s="4"/>
      <c r="T38" s="581"/>
      <c r="U38" s="581"/>
      <c r="V38" s="581"/>
      <c r="W38" s="581"/>
      <c r="X38" s="581"/>
      <c r="Y38" s="581"/>
      <c r="Z38" s="581"/>
      <c r="AA38" s="11"/>
      <c r="AB38" s="11"/>
      <c r="AC38" s="11"/>
      <c r="AD38" s="11"/>
      <c r="AE38" s="11"/>
      <c r="AF38" s="11"/>
      <c r="AG38" s="11"/>
    </row>
    <row r="39" spans="3:33" ht="16.5" customHeight="1" x14ac:dyDescent="0.25">
      <c r="C39" s="694" t="s">
        <v>192</v>
      </c>
      <c r="D39" s="695"/>
      <c r="E39" s="195" t="str">
        <f t="shared" si="3"/>
        <v/>
      </c>
      <c r="F39" s="55" t="s">
        <v>68</v>
      </c>
      <c r="G39" s="31"/>
      <c r="H39" s="632"/>
      <c r="I39" s="633"/>
      <c r="J39" s="633"/>
      <c r="K39" s="633"/>
      <c r="L39" s="632"/>
      <c r="M39" s="690"/>
      <c r="N39" s="691">
        <f>H39+L39</f>
        <v>0</v>
      </c>
      <c r="O39" s="691"/>
      <c r="P39" s="692"/>
      <c r="Q39" s="9">
        <f>IF(AND(menu!$U$4=TRUE,N39&lt;&gt;0,OR(E39="bitte auswählen",F39="bitte auswählen",G39=0,H39=0,menu!$I$21=0,L39="")),1,0)</f>
        <v>0</v>
      </c>
      <c r="R39" s="4"/>
      <c r="T39" s="581"/>
      <c r="U39" s="581"/>
      <c r="V39" s="581"/>
      <c r="W39" s="581"/>
      <c r="X39" s="581"/>
      <c r="Y39" s="581"/>
      <c r="Z39" s="581"/>
      <c r="AA39" s="11"/>
      <c r="AB39" s="11"/>
      <c r="AC39" s="11"/>
      <c r="AD39" s="11"/>
      <c r="AE39" s="11"/>
      <c r="AF39" s="11"/>
      <c r="AG39" s="11"/>
    </row>
    <row r="40" spans="3:33" ht="16.5" customHeight="1" thickBot="1" x14ac:dyDescent="0.3">
      <c r="C40" s="688" t="s">
        <v>193</v>
      </c>
      <c r="D40" s="689"/>
      <c r="E40" s="196" t="str">
        <f t="shared" si="3"/>
        <v/>
      </c>
      <c r="F40" s="56" t="s">
        <v>68</v>
      </c>
      <c r="G40" s="32"/>
      <c r="H40" s="650"/>
      <c r="I40" s="693"/>
      <c r="J40" s="693"/>
      <c r="K40" s="693"/>
      <c r="L40" s="650"/>
      <c r="M40" s="651"/>
      <c r="N40" s="652">
        <f>H40+L40</f>
        <v>0</v>
      </c>
      <c r="O40" s="652"/>
      <c r="P40" s="653"/>
      <c r="Q40" s="9">
        <f>IF(AND(menu!$U$4=TRUE,N40&lt;&gt;0,OR(E40="bitte auswählen",F40="bitte auswählen",G40=0,H40=0,menu!$I$21=0,L40="")),1,0)</f>
        <v>0</v>
      </c>
      <c r="R40" s="4"/>
      <c r="T40" s="581"/>
      <c r="U40" s="581"/>
      <c r="V40" s="581"/>
      <c r="W40" s="581"/>
      <c r="X40" s="581"/>
      <c r="Y40" s="581"/>
      <c r="Z40" s="581"/>
      <c r="AA40" s="11"/>
      <c r="AB40" s="11"/>
      <c r="AC40" s="11"/>
      <c r="AD40" s="11"/>
      <c r="AE40" s="11"/>
      <c r="AF40" s="11"/>
      <c r="AG40" s="11"/>
    </row>
    <row r="41" spans="3:33" ht="4.9000000000000004" customHeight="1" thickBot="1" x14ac:dyDescent="0.3">
      <c r="C41" s="8"/>
      <c r="D41" s="8"/>
      <c r="E41" s="12"/>
      <c r="F41" s="9"/>
      <c r="G41" s="9"/>
      <c r="H41" s="52"/>
      <c r="I41" s="52"/>
      <c r="J41" s="52"/>
      <c r="K41" s="52"/>
      <c r="L41" s="52"/>
      <c r="M41" s="52"/>
      <c r="N41" s="52"/>
      <c r="O41" s="52"/>
      <c r="P41" s="52"/>
      <c r="Q41" s="4"/>
      <c r="R41" s="4"/>
      <c r="T41" s="581"/>
      <c r="U41" s="581"/>
      <c r="V41" s="581"/>
      <c r="W41" s="581"/>
      <c r="X41" s="581"/>
      <c r="Y41" s="581"/>
      <c r="Z41" s="581"/>
      <c r="AA41" s="11"/>
      <c r="AB41" s="11"/>
      <c r="AC41" s="11"/>
      <c r="AD41" s="11"/>
      <c r="AE41" s="11"/>
      <c r="AF41" s="11"/>
      <c r="AG41" s="11"/>
    </row>
    <row r="42" spans="3:33" ht="16.5" customHeight="1" x14ac:dyDescent="0.25">
      <c r="C42" s="202"/>
      <c r="D42" s="628" t="s">
        <v>525</v>
      </c>
      <c r="E42" s="628"/>
      <c r="F42" s="628"/>
      <c r="G42" s="628"/>
      <c r="H42" s="628"/>
      <c r="I42" s="628"/>
      <c r="J42" s="628"/>
      <c r="K42" s="628"/>
      <c r="L42" s="628"/>
      <c r="M42" s="628"/>
      <c r="N42" s="628"/>
      <c r="O42" s="628"/>
      <c r="P42" s="629"/>
      <c r="Q42" s="9">
        <f>IF(AND(E8&lt;&gt;"",menu!B44=FALSE),1,0)</f>
        <v>1</v>
      </c>
      <c r="R42" s="4"/>
      <c r="T42" s="581"/>
      <c r="U42" s="581"/>
      <c r="V42" s="581"/>
      <c r="W42" s="581"/>
      <c r="X42" s="581"/>
      <c r="Y42" s="581"/>
      <c r="Z42" s="581"/>
      <c r="AA42" s="11"/>
      <c r="AB42" s="11"/>
      <c r="AC42" s="11"/>
      <c r="AD42" s="11"/>
      <c r="AE42" s="11"/>
      <c r="AF42" s="11"/>
      <c r="AG42" s="11"/>
    </row>
    <row r="43" spans="3:33" ht="16.5" customHeight="1" thickBot="1" x14ac:dyDescent="0.3">
      <c r="C43" s="203"/>
      <c r="D43" s="630"/>
      <c r="E43" s="630"/>
      <c r="F43" s="630"/>
      <c r="G43" s="630"/>
      <c r="H43" s="630"/>
      <c r="I43" s="630"/>
      <c r="J43" s="630"/>
      <c r="K43" s="630"/>
      <c r="L43" s="630"/>
      <c r="M43" s="630"/>
      <c r="N43" s="630"/>
      <c r="O43" s="630"/>
      <c r="P43" s="631"/>
      <c r="Q43" s="9"/>
      <c r="R43" s="4"/>
      <c r="T43" s="581"/>
      <c r="U43" s="581"/>
      <c r="V43" s="581"/>
      <c r="W43" s="581"/>
      <c r="X43" s="581"/>
      <c r="Y43" s="581"/>
      <c r="Z43" s="581"/>
    </row>
    <row r="44" spans="3:33" ht="4.9000000000000004" customHeight="1" x14ac:dyDescent="0.25">
      <c r="C44" s="8"/>
      <c r="D44" s="8"/>
      <c r="E44" s="12"/>
      <c r="F44" s="9"/>
      <c r="G44" s="9"/>
      <c r="H44" s="52"/>
      <c r="I44" s="52"/>
      <c r="J44" s="52"/>
      <c r="K44" s="52"/>
      <c r="L44" s="52"/>
      <c r="M44" s="52"/>
      <c r="N44" s="52"/>
      <c r="O44" s="52"/>
      <c r="P44" s="52"/>
      <c r="Q44" s="4"/>
      <c r="R44" s="4"/>
      <c r="T44" s="581"/>
      <c r="U44" s="581"/>
      <c r="V44" s="581"/>
      <c r="W44" s="581"/>
      <c r="X44" s="581"/>
      <c r="Y44" s="581"/>
      <c r="Z44" s="581"/>
    </row>
    <row r="45" spans="3:33" ht="16.5" customHeight="1" x14ac:dyDescent="0.25">
      <c r="C45" s="672" t="str">
        <f>IF(menu!C20=1,menu!M3,IF(menu!D20=1,menu!M4,IF(menu!E20=1,menu!M5,IF(menu!C21,menu!M6,IF(menu!D21,menu!M7,IF(menu!E21,menu!M8,IF(menu!I21=2,menu!M9,"")))))))</f>
        <v/>
      </c>
      <c r="D45" s="672"/>
      <c r="E45" s="672"/>
      <c r="F45" s="672"/>
      <c r="G45" s="672"/>
      <c r="H45" s="672"/>
      <c r="I45" s="672"/>
      <c r="J45" s="672"/>
      <c r="K45" s="672"/>
      <c r="L45" s="672"/>
      <c r="M45" s="672"/>
      <c r="N45" s="672"/>
      <c r="O45" s="672"/>
      <c r="P45" s="672"/>
      <c r="Q45" s="4"/>
      <c r="R45" s="4"/>
      <c r="T45" s="581"/>
      <c r="U45" s="581"/>
      <c r="V45" s="581"/>
      <c r="W45" s="581"/>
      <c r="X45" s="581"/>
      <c r="Y45" s="581"/>
      <c r="Z45" s="581"/>
    </row>
    <row r="46" spans="3:33" ht="4.9000000000000004" customHeight="1" x14ac:dyDescent="0.25">
      <c r="T46" s="581"/>
      <c r="U46" s="581"/>
      <c r="V46" s="581"/>
      <c r="W46" s="581"/>
      <c r="X46" s="581"/>
      <c r="Y46" s="581"/>
      <c r="Z46" s="581"/>
    </row>
    <row r="47" spans="3:33" ht="174" customHeight="1" x14ac:dyDescent="0.25">
      <c r="C47" s="675" t="s">
        <v>314</v>
      </c>
      <c r="D47" s="676"/>
      <c r="E47" s="676"/>
      <c r="F47" s="676"/>
      <c r="G47" s="676"/>
      <c r="H47" s="676"/>
      <c r="I47" s="676"/>
      <c r="J47" s="676"/>
      <c r="K47" s="676"/>
      <c r="L47" s="676"/>
      <c r="M47" s="676"/>
      <c r="N47" s="676"/>
      <c r="O47" s="676"/>
      <c r="P47" s="677"/>
      <c r="Q47" s="3"/>
      <c r="R47" s="3"/>
      <c r="S47" s="581"/>
      <c r="T47" s="581"/>
      <c r="U47" s="581"/>
      <c r="V47" s="581"/>
      <c r="W47" s="581"/>
      <c r="X47" s="3"/>
      <c r="Y47" s="3"/>
      <c r="Z47" s="3"/>
    </row>
    <row r="48" spans="3:33" ht="19.5" customHeight="1" x14ac:dyDescent="0.25">
      <c r="C48" s="678" t="str">
        <f>HYPERLINK("https://foerderportal.bund.de/easy/easy_index.php?auswahl=easy_formulare&amp;formularschrank=bmu#t1","Formularschrank des BMU")</f>
        <v>Formularschrank des BMU</v>
      </c>
      <c r="D48" s="679"/>
      <c r="E48" s="679"/>
      <c r="F48" s="163"/>
      <c r="G48" s="163"/>
      <c r="H48" s="163"/>
      <c r="I48" s="163"/>
      <c r="J48" s="163"/>
      <c r="K48" s="163"/>
      <c r="L48" s="163"/>
      <c r="M48" s="163"/>
      <c r="N48" s="163"/>
      <c r="O48" s="163"/>
      <c r="P48" s="164"/>
    </row>
    <row r="49" spans="2:22" ht="6" customHeight="1" thickBot="1" x14ac:dyDescent="0.3">
      <c r="C49" s="41"/>
      <c r="D49" s="39"/>
      <c r="E49" s="39"/>
      <c r="F49" s="39"/>
      <c r="G49" s="39"/>
      <c r="H49" s="39"/>
      <c r="I49" s="39"/>
      <c r="J49" s="39"/>
      <c r="K49" s="39"/>
      <c r="U49" s="3"/>
      <c r="V49" s="3"/>
    </row>
    <row r="50" spans="2:22" ht="15" customHeight="1" x14ac:dyDescent="0.25">
      <c r="B50" s="37"/>
      <c r="C50" s="23"/>
      <c r="D50" s="65" t="s">
        <v>18</v>
      </c>
      <c r="E50" s="65" t="str">
        <f>IF(menu!L36&lt;2018,"Projektjahr 1",menu!L36)</f>
        <v>Projektjahr 1</v>
      </c>
      <c r="F50" s="65" t="str">
        <f>IF(menu!L36&lt;2018,"Projektjahr 2",menu!L36+1)</f>
        <v>Projektjahr 2</v>
      </c>
      <c r="G50" s="65" t="str">
        <f>IF(menu!L36&lt;2018,"Projektjahr 3",menu!L36+2)</f>
        <v>Projektjahr 3</v>
      </c>
      <c r="H50" s="685" t="str">
        <f>IF(menu!L36&lt;2018,"Projektjahr 4",menu!L36+3)</f>
        <v>Projektjahr 4</v>
      </c>
      <c r="I50" s="686"/>
      <c r="J50" s="686"/>
      <c r="K50" s="687"/>
      <c r="L50" s="680" t="s">
        <v>6</v>
      </c>
      <c r="M50" s="681"/>
      <c r="N50" s="13"/>
      <c r="O50" s="13"/>
      <c r="P50" s="35"/>
    </row>
    <row r="51" spans="2:22" ht="16.5" customHeight="1" x14ac:dyDescent="0.25">
      <c r="B51" s="37"/>
      <c r="C51" s="66" t="s">
        <v>30</v>
      </c>
      <c r="D51" s="23"/>
      <c r="E51" s="384">
        <f>IF(Basisdaten!I36="",0,ROUND(menu!G55,2))</f>
        <v>0</v>
      </c>
      <c r="F51" s="384">
        <f>IF(Basisdaten!I36="",0,ROUND(menu!H55,2))</f>
        <v>0</v>
      </c>
      <c r="G51" s="384">
        <f>IF(Basisdaten!I36="",0,ROUND(menu!I55,2))</f>
        <v>0</v>
      </c>
      <c r="H51" s="682">
        <f>IF(Basisdaten!I36="",0,ROUND(menu!J55,2))</f>
        <v>0</v>
      </c>
      <c r="I51" s="683"/>
      <c r="J51" s="683"/>
      <c r="K51" s="684"/>
      <c r="L51" s="673">
        <f>ROUND(E51+F51+G51+H51,0)</f>
        <v>0</v>
      </c>
      <c r="M51" s="674"/>
      <c r="N51" s="63"/>
      <c r="O51" s="63" t="s">
        <v>219</v>
      </c>
      <c r="P51" s="33"/>
    </row>
    <row r="52" spans="2:22" ht="16.5" customHeight="1" x14ac:dyDescent="0.25">
      <c r="B52" s="37"/>
      <c r="C52" s="66" t="s">
        <v>7</v>
      </c>
      <c r="D52" s="27" t="s">
        <v>28</v>
      </c>
      <c r="E52" s="44">
        <f>Personalausgaben!G3</f>
        <v>0</v>
      </c>
      <c r="F52" s="44">
        <f>Personalausgaben!G4</f>
        <v>0</v>
      </c>
      <c r="G52" s="44">
        <f>Personalausgaben!G5</f>
        <v>0</v>
      </c>
      <c r="H52" s="669">
        <f>Personalausgaben!G6</f>
        <v>0</v>
      </c>
      <c r="I52" s="669"/>
      <c r="J52" s="669"/>
      <c r="K52" s="669"/>
      <c r="L52" s="636">
        <f>E52+F52+G52+H52</f>
        <v>0</v>
      </c>
      <c r="M52" s="637"/>
      <c r="N52" s="64"/>
      <c r="O52" s="64"/>
      <c r="P52" s="62"/>
    </row>
    <row r="53" spans="2:22" ht="16.5" customHeight="1" thickBot="1" x14ac:dyDescent="0.3">
      <c r="B53" s="37"/>
      <c r="C53" s="67" t="s">
        <v>8</v>
      </c>
      <c r="D53" s="38" t="s">
        <v>27</v>
      </c>
      <c r="E53" s="45">
        <f>Personalausgaben!H3</f>
        <v>0</v>
      </c>
      <c r="F53" s="45">
        <f>Personalausgaben!H4</f>
        <v>0</v>
      </c>
      <c r="G53" s="45">
        <f>Personalausgaben!H5</f>
        <v>0</v>
      </c>
      <c r="H53" s="670">
        <f>Personalausgaben!H6</f>
        <v>0</v>
      </c>
      <c r="I53" s="670"/>
      <c r="J53" s="670"/>
      <c r="K53" s="670"/>
      <c r="L53" s="638">
        <f>E53+F53+G53+H53</f>
        <v>0</v>
      </c>
      <c r="M53" s="639"/>
      <c r="N53" s="64"/>
      <c r="O53" s="64"/>
      <c r="P53" s="62"/>
    </row>
    <row r="54" spans="2:22" ht="6" customHeight="1" thickBot="1" x14ac:dyDescent="0.3">
      <c r="C54" s="34"/>
      <c r="D54" s="46"/>
      <c r="E54" s="47"/>
      <c r="F54" s="47"/>
      <c r="G54" s="47"/>
      <c r="H54" s="48"/>
      <c r="I54" s="48"/>
      <c r="J54" s="48"/>
      <c r="L54" s="28"/>
      <c r="M54" s="28"/>
      <c r="N54" s="33"/>
      <c r="O54" s="33"/>
      <c r="P54" s="33"/>
    </row>
    <row r="55" spans="2:22" ht="16.5" customHeight="1" x14ac:dyDescent="0.25">
      <c r="C55" s="654" t="s">
        <v>69</v>
      </c>
      <c r="D55" s="655"/>
      <c r="E55" s="655"/>
      <c r="F55" s="655"/>
      <c r="G55" s="655"/>
      <c r="H55" s="646" t="s">
        <v>80</v>
      </c>
      <c r="I55" s="647"/>
      <c r="J55" s="647"/>
      <c r="K55" s="648"/>
      <c r="M55" s="666" t="s">
        <v>75</v>
      </c>
      <c r="N55" s="667"/>
      <c r="O55" s="667"/>
      <c r="P55" s="668"/>
    </row>
    <row r="56" spans="2:22" ht="16.5" customHeight="1" x14ac:dyDescent="0.25">
      <c r="C56" s="656"/>
      <c r="D56" s="657"/>
      <c r="E56" s="657"/>
      <c r="F56" s="657"/>
      <c r="G56" s="657"/>
      <c r="H56" s="640" t="s">
        <v>68</v>
      </c>
      <c r="I56" s="641"/>
      <c r="J56" s="641"/>
      <c r="K56" s="642"/>
      <c r="M56" s="660"/>
      <c r="N56" s="661"/>
      <c r="O56" s="661"/>
      <c r="P56" s="662"/>
      <c r="Q56" s="671">
        <f>IF(AND(menu!U4=TRUE,OR(H56="bitte auswählen",IF(H56="Sonstige",M56=""),IF(H56="Haustarifvertrag",M56=""))),1,0)</f>
        <v>1</v>
      </c>
    </row>
    <row r="57" spans="2:22" ht="6.75" customHeight="1" thickBot="1" x14ac:dyDescent="0.3">
      <c r="C57" s="658"/>
      <c r="D57" s="659"/>
      <c r="E57" s="659"/>
      <c r="F57" s="659"/>
      <c r="G57" s="659"/>
      <c r="H57" s="643"/>
      <c r="I57" s="644"/>
      <c r="J57" s="644"/>
      <c r="K57" s="645"/>
      <c r="L57" s="11"/>
      <c r="M57" s="663"/>
      <c r="N57" s="664"/>
      <c r="O57" s="664"/>
      <c r="P57" s="665"/>
      <c r="Q57" s="671"/>
    </row>
    <row r="58" spans="2:22" ht="6" customHeight="1" x14ac:dyDescent="0.25"/>
    <row r="59" spans="2:22" ht="13" x14ac:dyDescent="0.3">
      <c r="C59" s="649" t="s">
        <v>183</v>
      </c>
      <c r="D59" s="649"/>
      <c r="E59" s="649"/>
      <c r="F59" s="649"/>
      <c r="G59" s="649"/>
      <c r="H59" s="649"/>
      <c r="I59" s="649"/>
      <c r="J59" s="649"/>
      <c r="K59" s="649"/>
      <c r="L59" s="649"/>
      <c r="M59" s="649"/>
      <c r="N59" s="649"/>
      <c r="O59" s="649"/>
      <c r="P59" s="649"/>
    </row>
    <row r="60" spans="2:22" ht="4.5" customHeight="1" x14ac:dyDescent="0.3">
      <c r="C60" s="7"/>
    </row>
    <row r="61" spans="2:22" x14ac:dyDescent="0.25">
      <c r="C61" s="634" t="str">
        <f>Basisdaten!C46</f>
        <v>Vorhabenbeschreibung 
4.1.10 a): Erstellung eines 
Fokuskonzeptes 2509_V3</v>
      </c>
      <c r="D61" s="635"/>
      <c r="E61" s="635"/>
      <c r="F61" s="635"/>
      <c r="G61" s="635"/>
      <c r="H61" s="635"/>
      <c r="I61" s="635"/>
      <c r="J61" s="635"/>
      <c r="K61" s="635"/>
      <c r="L61" s="635"/>
      <c r="M61" s="635"/>
      <c r="N61" s="635"/>
      <c r="O61" s="635"/>
      <c r="P61" s="635"/>
    </row>
    <row r="62" spans="2:22" ht="6.75" customHeight="1" x14ac:dyDescent="0.25"/>
    <row r="63" spans="2:22" x14ac:dyDescent="0.25">
      <c r="P63" s="5"/>
    </row>
    <row r="64" spans="2:22" x14ac:dyDescent="0.25">
      <c r="P64" s="5"/>
    </row>
    <row r="65" spans="3:16" x14ac:dyDescent="0.25">
      <c r="P65" s="6"/>
    </row>
    <row r="66" spans="3:16" x14ac:dyDescent="0.25">
      <c r="P66" s="6"/>
    </row>
    <row r="70" spans="3:16" ht="12" customHeight="1" x14ac:dyDescent="0.25">
      <c r="C70" s="16"/>
      <c r="D70" s="17"/>
      <c r="E70" s="17"/>
      <c r="F70" s="17"/>
      <c r="G70" s="17"/>
      <c r="H70" s="17"/>
      <c r="I70" s="17"/>
      <c r="J70" s="17"/>
      <c r="K70" s="17"/>
      <c r="L70" s="17"/>
      <c r="M70" s="17"/>
      <c r="N70" s="17"/>
      <c r="O70" s="17"/>
      <c r="P70" s="17"/>
    </row>
    <row r="71" spans="3:16" x14ac:dyDescent="0.25">
      <c r="C71" s="17"/>
      <c r="D71" s="17"/>
      <c r="E71" s="17"/>
      <c r="F71" s="17"/>
      <c r="G71" s="17"/>
      <c r="H71" s="17"/>
      <c r="I71" s="17"/>
      <c r="J71" s="17"/>
      <c r="K71" s="17"/>
      <c r="L71" s="17"/>
      <c r="M71" s="17"/>
      <c r="N71" s="17"/>
      <c r="O71" s="17"/>
      <c r="P71" s="17"/>
    </row>
    <row r="72" spans="3:16" x14ac:dyDescent="0.25">
      <c r="C72" s="17"/>
      <c r="D72" s="17"/>
      <c r="E72" s="17"/>
      <c r="F72" s="17"/>
      <c r="G72" s="17"/>
      <c r="H72" s="17"/>
      <c r="I72" s="17"/>
      <c r="J72" s="17"/>
      <c r="K72" s="17"/>
      <c r="L72" s="17"/>
      <c r="M72" s="17"/>
      <c r="N72" s="17"/>
      <c r="O72" s="17"/>
      <c r="P72" s="17"/>
    </row>
    <row r="73" spans="3:16" x14ac:dyDescent="0.25">
      <c r="C73" s="17"/>
      <c r="D73" s="17"/>
      <c r="E73" s="17"/>
      <c r="F73" s="17"/>
      <c r="G73" s="17"/>
      <c r="H73" s="17"/>
      <c r="I73" s="17"/>
      <c r="J73" s="17"/>
      <c r="K73" s="17"/>
      <c r="L73" s="17"/>
      <c r="M73" s="17"/>
      <c r="N73" s="17"/>
      <c r="O73" s="17"/>
      <c r="P73" s="17"/>
    </row>
    <row r="74" spans="3:16" x14ac:dyDescent="0.25">
      <c r="C74" s="17"/>
      <c r="D74" s="17"/>
      <c r="E74" s="17"/>
      <c r="F74" s="17"/>
      <c r="G74" s="17"/>
      <c r="H74" s="17"/>
      <c r="I74" s="17"/>
      <c r="J74" s="17"/>
      <c r="K74" s="17"/>
      <c r="L74" s="17"/>
      <c r="M74" s="17"/>
      <c r="N74" s="17"/>
      <c r="O74" s="17"/>
      <c r="P74" s="17"/>
    </row>
    <row r="75" spans="3:16" x14ac:dyDescent="0.25">
      <c r="C75" s="17"/>
      <c r="D75" s="17"/>
      <c r="E75" s="17"/>
      <c r="F75" s="17"/>
      <c r="G75" s="17"/>
      <c r="H75" s="17"/>
      <c r="I75" s="17"/>
      <c r="J75" s="17"/>
      <c r="K75" s="17"/>
      <c r="L75" s="17"/>
      <c r="M75" s="17"/>
      <c r="N75" s="17"/>
      <c r="O75" s="17"/>
      <c r="P75" s="17"/>
    </row>
    <row r="76" spans="3:16" x14ac:dyDescent="0.25">
      <c r="C76" s="17"/>
      <c r="D76" s="17"/>
      <c r="E76" s="17"/>
      <c r="F76" s="17"/>
      <c r="G76" s="17"/>
      <c r="H76" s="17"/>
      <c r="I76" s="17"/>
      <c r="J76" s="17"/>
      <c r="K76" s="17"/>
      <c r="L76" s="17"/>
      <c r="M76" s="17"/>
      <c r="N76" s="17"/>
      <c r="O76" s="17"/>
      <c r="P76" s="17"/>
    </row>
    <row r="77" spans="3:16" x14ac:dyDescent="0.25">
      <c r="C77" s="17"/>
      <c r="D77" s="17"/>
      <c r="E77" s="17"/>
      <c r="F77" s="17"/>
      <c r="G77" s="17"/>
      <c r="H77" s="17"/>
      <c r="I77" s="17"/>
      <c r="J77" s="17"/>
      <c r="K77" s="17"/>
      <c r="L77" s="17"/>
      <c r="M77" s="17"/>
      <c r="N77" s="17"/>
      <c r="O77" s="17"/>
      <c r="P77" s="17"/>
    </row>
    <row r="78" spans="3:16" x14ac:dyDescent="0.25">
      <c r="C78" s="17"/>
      <c r="D78" s="17"/>
      <c r="E78" s="17"/>
      <c r="F78" s="17"/>
      <c r="G78" s="17"/>
      <c r="H78" s="17"/>
      <c r="I78" s="17"/>
      <c r="J78" s="17"/>
      <c r="K78" s="17"/>
      <c r="L78" s="17"/>
      <c r="M78" s="17"/>
      <c r="N78" s="17"/>
      <c r="O78" s="17"/>
      <c r="P78" s="17"/>
    </row>
    <row r="79" spans="3:16" x14ac:dyDescent="0.25">
      <c r="C79" s="17"/>
      <c r="D79" s="17"/>
      <c r="E79" s="17"/>
      <c r="F79" s="17"/>
      <c r="G79" s="17"/>
      <c r="H79" s="17"/>
      <c r="I79" s="17"/>
      <c r="J79" s="17"/>
      <c r="K79" s="17"/>
      <c r="L79" s="17"/>
      <c r="M79" s="17"/>
      <c r="N79" s="17"/>
      <c r="O79" s="17"/>
      <c r="P79" s="17"/>
    </row>
  </sheetData>
  <sheetProtection selectLockedCells="1"/>
  <customSheetViews>
    <customSheetView guid="{68ABA936-E0C3-4F62-AA1D-4FD1F5462098}" showPageBreaks="1" showGridLines="0" showRowCol="0" fitToPage="1" printArea="1" view="pageBreakPreview">
      <selection activeCell="E8" sqref="E8"/>
      <pageMargins left="0.39370078740157483" right="0.39370078740157483" top="0.39370078740157483" bottom="0.39370078740157483" header="0" footer="0"/>
      <printOptions horizontalCentered="1"/>
      <pageSetup paperSize="9" scale="84" orientation="portrait" r:id="rId1"/>
    </customSheetView>
  </customSheetViews>
  <mergeCells count="105">
    <mergeCell ref="S47:W47"/>
    <mergeCell ref="T10:X16"/>
    <mergeCell ref="T22:Y29"/>
    <mergeCell ref="L21:M21"/>
    <mergeCell ref="N29:P29"/>
    <mergeCell ref="C29:D29"/>
    <mergeCell ref="H29:K29"/>
    <mergeCell ref="L29:M29"/>
    <mergeCell ref="L22:M22"/>
    <mergeCell ref="L23:M23"/>
    <mergeCell ref="L24:M24"/>
    <mergeCell ref="N22:P22"/>
    <mergeCell ref="N23:P23"/>
    <mergeCell ref="N24:P24"/>
    <mergeCell ref="N21:P21"/>
    <mergeCell ref="C23:D23"/>
    <mergeCell ref="C24:D24"/>
    <mergeCell ref="C21:D21"/>
    <mergeCell ref="C22:D22"/>
    <mergeCell ref="C31:D31"/>
    <mergeCell ref="H31:K31"/>
    <mergeCell ref="L31:M31"/>
    <mergeCell ref="C30:D30"/>
    <mergeCell ref="H30:K30"/>
    <mergeCell ref="C20:E20"/>
    <mergeCell ref="N37:P37"/>
    <mergeCell ref="C38:D38"/>
    <mergeCell ref="H38:K38"/>
    <mergeCell ref="L38:M38"/>
    <mergeCell ref="N38:P38"/>
    <mergeCell ref="C28:D28"/>
    <mergeCell ref="H25:K25"/>
    <mergeCell ref="C25:D25"/>
    <mergeCell ref="C26:D26"/>
    <mergeCell ref="N25:P25"/>
    <mergeCell ref="H26:K26"/>
    <mergeCell ref="L26:M26"/>
    <mergeCell ref="N26:P26"/>
    <mergeCell ref="H21:K21"/>
    <mergeCell ref="H22:K22"/>
    <mergeCell ref="H23:K23"/>
    <mergeCell ref="H24:K24"/>
    <mergeCell ref="L25:M25"/>
    <mergeCell ref="C37:D37"/>
    <mergeCell ref="H37:K37"/>
    <mergeCell ref="C40:D40"/>
    <mergeCell ref="L39:M39"/>
    <mergeCell ref="N39:P39"/>
    <mergeCell ref="H40:K40"/>
    <mergeCell ref="L37:M37"/>
    <mergeCell ref="C39:D39"/>
    <mergeCell ref="L30:M30"/>
    <mergeCell ref="N30:P30"/>
    <mergeCell ref="C33:D33"/>
    <mergeCell ref="C36:D36"/>
    <mergeCell ref="H36:K36"/>
    <mergeCell ref="L36:M36"/>
    <mergeCell ref="N36:P36"/>
    <mergeCell ref="C35:D35"/>
    <mergeCell ref="H33:K33"/>
    <mergeCell ref="L33:M33"/>
    <mergeCell ref="N33:P33"/>
    <mergeCell ref="N31:P31"/>
    <mergeCell ref="C32:D32"/>
    <mergeCell ref="H32:K32"/>
    <mergeCell ref="L32:M32"/>
    <mergeCell ref="N32:P32"/>
    <mergeCell ref="D42:P43"/>
    <mergeCell ref="H39:K39"/>
    <mergeCell ref="T38:Z46"/>
    <mergeCell ref="C61:P61"/>
    <mergeCell ref="L52:M52"/>
    <mergeCell ref="L53:M53"/>
    <mergeCell ref="H56:K57"/>
    <mergeCell ref="H55:K55"/>
    <mergeCell ref="C59:P59"/>
    <mergeCell ref="L40:M40"/>
    <mergeCell ref="N40:P40"/>
    <mergeCell ref="C55:G57"/>
    <mergeCell ref="M56:P57"/>
    <mergeCell ref="M55:P55"/>
    <mergeCell ref="H52:K52"/>
    <mergeCell ref="H53:K53"/>
    <mergeCell ref="Q56:Q57"/>
    <mergeCell ref="C45:P45"/>
    <mergeCell ref="L51:M51"/>
    <mergeCell ref="C47:P47"/>
    <mergeCell ref="C48:E48"/>
    <mergeCell ref="L50:M50"/>
    <mergeCell ref="H51:K51"/>
    <mergeCell ref="H50:K50"/>
    <mergeCell ref="C3:D4"/>
    <mergeCell ref="E3:G4"/>
    <mergeCell ref="E18:G18"/>
    <mergeCell ref="C8:D8"/>
    <mergeCell ref="C7:E7"/>
    <mergeCell ref="C18:D18"/>
    <mergeCell ref="C12:D12"/>
    <mergeCell ref="F12:P12"/>
    <mergeCell ref="C10:D10"/>
    <mergeCell ref="E10:G10"/>
    <mergeCell ref="C5:G6"/>
    <mergeCell ref="H8:P8"/>
    <mergeCell ref="D14:P14"/>
    <mergeCell ref="D16:P16"/>
  </mergeCells>
  <conditionalFormatting sqref="E12">
    <cfRule type="expression" dxfId="340" priority="369">
      <formula>$E$12&lt;&gt;""</formula>
    </cfRule>
    <cfRule type="expression" dxfId="339" priority="53">
      <formula>AND(E12=0,E12&lt;TODAY())</formula>
    </cfRule>
  </conditionalFormatting>
  <conditionalFormatting sqref="E18">
    <cfRule type="expression" dxfId="338" priority="433" stopIfTrue="1">
      <formula>AND($E$8&gt;TODAY(),DAY(E18)=1)</formula>
    </cfRule>
  </conditionalFormatting>
  <conditionalFormatting sqref="E22">
    <cfRule type="expression" dxfId="337" priority="375">
      <formula>$E$22&lt;&gt;"bitte auswählen"</formula>
    </cfRule>
    <cfRule type="expression" dxfId="336" priority="386">
      <formula>$N$22&gt;0</formula>
    </cfRule>
  </conditionalFormatting>
  <conditionalFormatting sqref="E23:E26">
    <cfRule type="expression" dxfId="335" priority="43">
      <formula>AND(N23&gt;0,E23="bitte auswählen")</formula>
    </cfRule>
    <cfRule type="expression" dxfId="334" priority="44">
      <formula>E23&lt;&gt;"bitte auswählen"</formula>
    </cfRule>
  </conditionalFormatting>
  <conditionalFormatting sqref="E18:G18">
    <cfRule type="expression" dxfId="332" priority="368">
      <formula>$E$18&lt;&gt;"bitte auswählen"</formula>
    </cfRule>
  </conditionalFormatting>
  <conditionalFormatting sqref="E22:K22">
    <cfRule type="expression" dxfId="331" priority="1577">
      <formula>$N$22&gt;0</formula>
    </cfRule>
  </conditionalFormatting>
  <conditionalFormatting sqref="F23:F26">
    <cfRule type="expression" dxfId="328" priority="42">
      <formula>E23&lt;&gt;"bitte auswählen"</formula>
    </cfRule>
    <cfRule type="expression" dxfId="327" priority="39">
      <formula>F23&lt;&gt;"bitte auswählen"</formula>
    </cfRule>
  </conditionalFormatting>
  <conditionalFormatting sqref="F36:F40">
    <cfRule type="expression" dxfId="326" priority="23">
      <formula>F36&lt;&gt;"bitte auswählen"</formula>
    </cfRule>
    <cfRule type="expression" dxfId="325" priority="50">
      <formula>E36&lt;&gt;""</formula>
    </cfRule>
  </conditionalFormatting>
  <conditionalFormatting sqref="G22">
    <cfRule type="expression" dxfId="324" priority="370">
      <formula>AND($G$22&lt;=40, $G$22&gt;0)</formula>
    </cfRule>
  </conditionalFormatting>
  <conditionalFormatting sqref="G23:G26">
    <cfRule type="expression" dxfId="323" priority="41">
      <formula>E23&lt;&gt;"bitte auswählen"</formula>
    </cfRule>
  </conditionalFormatting>
  <conditionalFormatting sqref="G29:G33">
    <cfRule type="expression" dxfId="322" priority="31">
      <formula>E29&lt;&gt;""</formula>
    </cfRule>
  </conditionalFormatting>
  <conditionalFormatting sqref="G36:G40">
    <cfRule type="expression" dxfId="321" priority="22">
      <formula>E36&lt;&gt;""</formula>
    </cfRule>
  </conditionalFormatting>
  <conditionalFormatting sqref="G23:K26">
    <cfRule type="expression" dxfId="320" priority="36">
      <formula>G23&lt;&gt;""</formula>
    </cfRule>
  </conditionalFormatting>
  <conditionalFormatting sqref="G29:K33">
    <cfRule type="expression" dxfId="319" priority="28">
      <formula>G29&lt;&gt;""</formula>
    </cfRule>
  </conditionalFormatting>
  <conditionalFormatting sqref="G36:K40">
    <cfRule type="expression" dxfId="318" priority="11">
      <formula>G36&lt;&gt;""</formula>
    </cfRule>
  </conditionalFormatting>
  <conditionalFormatting sqref="H23:K26">
    <cfRule type="expression" dxfId="316" priority="37">
      <formula>G23&lt;&gt;""</formula>
    </cfRule>
  </conditionalFormatting>
  <conditionalFormatting sqref="H29:K33">
    <cfRule type="expression" dxfId="313" priority="29">
      <formula>G29&lt;&gt;""</formula>
    </cfRule>
  </conditionalFormatting>
  <conditionalFormatting sqref="H36:K40">
    <cfRule type="expression" dxfId="311" priority="12">
      <formula>G36&lt;&gt;""</formula>
    </cfRule>
  </conditionalFormatting>
  <conditionalFormatting sqref="H56:K57">
    <cfRule type="expression" dxfId="310" priority="398">
      <formula>$H$56&lt;&gt;"bitte auswählen"</formula>
    </cfRule>
  </conditionalFormatting>
  <conditionalFormatting sqref="L22:M22">
    <cfRule type="expression" dxfId="305" priority="387">
      <formula>$N$22&gt;0</formula>
    </cfRule>
  </conditionalFormatting>
  <conditionalFormatting sqref="L23:M26">
    <cfRule type="expression" dxfId="304" priority="34">
      <formula>H23&lt;&gt;""</formula>
    </cfRule>
    <cfRule type="expression" dxfId="303" priority="33">
      <formula>L23&lt;&gt;""</formula>
    </cfRule>
  </conditionalFormatting>
  <conditionalFormatting sqref="L29:M33">
    <cfRule type="expression" dxfId="301" priority="26">
      <formula>H29&lt;&gt;""</formula>
    </cfRule>
    <cfRule type="expression" dxfId="300" priority="25">
      <formula>L29&lt;&gt;""</formula>
    </cfRule>
  </conditionalFormatting>
  <conditionalFormatting sqref="L36:M40">
    <cfRule type="expression" dxfId="298" priority="14">
      <formula>L36&lt;&gt;""</formula>
    </cfRule>
    <cfRule type="expression" dxfId="297" priority="18">
      <formula>H36&lt;&gt;""</formula>
    </cfRule>
  </conditionalFormatting>
  <conditionalFormatting sqref="M56:P57">
    <cfRule type="expression" dxfId="294" priority="401">
      <formula>$M$56&lt;&gt;""</formula>
    </cfRule>
  </conditionalFormatting>
  <dataValidations xWindow="814" yWindow="421" count="15">
    <dataValidation type="whole" allowBlank="1" showInputMessage="1" showErrorMessage="1" errorTitle="Fehler" error="Ungültige Eingabe. Maximal 40 Wochenstunden." sqref="G27 G44 G34 G41" xr:uid="{00000000-0002-0000-0800-000000000000}">
      <formula1>0</formula1>
      <formula2>40</formula2>
    </dataValidation>
    <dataValidation allowBlank="1" errorTitle="Achtung" error="Ein Jahr hat 12 Monate!" sqref="E51:G51" xr:uid="{00000000-0002-0000-0800-000001000000}"/>
    <dataValidation type="decimal" operator="greaterThan" allowBlank="1" showInputMessage="1" showErrorMessage="1" promptTitle="Hinweis" prompt="Sonstige tarifliche Ansprüche wie Leistungsentgelt, Jahressonder-zahlungen gem. § 20 TVöD, sonstige Zulagen, eventuelle tarifliche Einmalzahlungen etc. " sqref="L27:M28 L34:M35" xr:uid="{00000000-0002-0000-0800-000002000000}">
      <formula1>0</formula1>
    </dataValidation>
    <dataValidation type="decimal" operator="greaterThan" allowBlank="1" showInputMessage="1" showErrorMessage="1" prompt="Brutto Monatsgehalt" sqref="H34:H35 J27:K28 I27 H27:H28 J34:K35 I34" xr:uid="{00000000-0002-0000-0800-000003000000}">
      <formula1>0</formula1>
    </dataValidation>
    <dataValidation operator="equal" allowBlank="1" errorTitle="Achtung:" error="Der Dienstantritt muss nach dem heutigen Datum und spätestens 12 Monate nach Antragstellung liegen. Der Dienstantritt ist immer der Monatserste." promptTitle="Hinweis" prompt="Bitte planen Sie den Dienstantritt frühestens 5 Monate nach Antragstellung ein. Bitte berücksichtigen Sie ausreichend Zeit für ein Stellenbesetzungsverfahren. Der Dienstantritt ist immer der Monatserste." sqref="E8" xr:uid="{00000000-0002-0000-0800-000004000000}"/>
    <dataValidation type="decimal" operator="greaterThan" allowBlank="1" showInputMessage="1" showErrorMessage="1" prompt="Arbeitgeber- brutto Monatsgehalt" sqref="H29:K33 H22:K26 H36:K40" xr:uid="{00000000-0002-0000-0800-000005000000}">
      <formula1>0</formula1>
    </dataValidation>
    <dataValidation operator="equal" allowBlank="1" showInputMessage="1" showErrorMessage="1" errorTitle="Achtung:" error="Der Dienstantritt muss nach dem heutigen Datum und spätestens 12 Monate nach Antragstellung liegen. Der Dienstantritt ist immer der Monatserste." sqref="E11 E9 E13" xr:uid="{00000000-0002-0000-0800-000006000000}"/>
    <dataValidation type="textLength" operator="lessThan" allowBlank="1" showInputMessage="1" showErrorMessage="1" errorTitle="Achtung:" error="Bitte maximal 20 Zeichen eingeben" sqref="M56:P57" xr:uid="{00000000-0002-0000-0800-000007000000}">
      <formula1>20</formula1>
    </dataValidation>
    <dataValidation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sqref="E28:G28 I28 E35:G35 I35" xr:uid="{00000000-0002-0000-0800-000008000000}"/>
    <dataValidation type="list" allowBlank="1" showInputMessage="1" showErrorMessage="1" sqref="F34" xr:uid="{00000000-0002-0000-0800-000009000000}">
      <formula1>IF($H$29=2,$J$26:$J$32,$J$26:$J$28)</formula1>
    </dataValidation>
    <dataValidation type="decimal" operator="greaterThanOrEqual" allowBlank="1" showInputMessage="1" showErrorMessage="1" promptTitle="Hinweis" prompt="Bitte tragen Sie hier sonstige tarifliche Ansprüche wie Leistungsentgelt, Jahressonder-zahlungen gem. § 20 TVöD, sonstige Zulagen, eventuelle tarifliche Einmalzahlungen etc. ein" sqref="L22:M26" xr:uid="{00000000-0002-0000-0800-00000A000000}">
      <formula1>0</formula1>
    </dataValidation>
    <dataValidation type="decimal" operator="greaterThanOrEqual" allowBlank="1" showInputMessage="1" showErrorMessage="1" promptTitle="Hinweis" prompt="Sonstige tarifliche Ansprüche wie Leistungsentgelt, Jahressonder-zahlungen gem. § 20 TVöD, sonstige Zulagen, eventuelle tarifliche Einmalzahlungen etc. " sqref="L29:M33 L36:M40" xr:uid="{00000000-0002-0000-0800-00000B000000}">
      <formula1>0</formula1>
    </dataValidation>
    <dataValidation type="decimal" allowBlank="1" showInputMessage="1" showErrorMessage="1" errorTitle="Fehler" error="Ungültige Eingabe. Maximal 40 Wochenstunden." sqref="G29:G33 G22:G26 G36:G40" xr:uid="{00000000-0002-0000-0800-00000C000000}">
      <formula1>0</formula1>
      <formula2>40</formula2>
    </dataValidation>
    <dataValidation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sqref="E36:E40" xr:uid="{00000000-0002-0000-0800-00000D000000}"/>
    <dataValidation operator="lessThan" allowBlank="1" showInputMessage="1" errorTitle="Achtung:" error="Der Dienstantritt muss nach dem heutigen Datum und spätestens 12 Monate nach Antragstellung liegen. Der Dienstantritt ist immer der Monatserste." promptTitle="Hinweis:" prompt="Bitte geben Sie das Datum der (geplanten) Stellenausschreibung an. Dieses sollte frühestens 4 Monate vor geplantem Dienstantritt liegen." sqref="E12" xr:uid="{00000000-0002-0000-0800-00000E000000}"/>
  </dataValidations>
  <printOptions horizontalCentered="1"/>
  <pageMargins left="0" right="0" top="0" bottom="0" header="0" footer="0"/>
  <pageSetup paperSize="9" scale="81" orientation="portrait" r:id="rId2"/>
  <ignoredErrors>
    <ignoredError sqref="C4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6203" r:id="rId5" name="Check Box 59">
              <controlPr defaultSize="0" autoFill="0" autoLine="0" autoPict="0">
                <anchor moveWithCells="1">
                  <from>
                    <xdr:col>2</xdr:col>
                    <xdr:colOff>171450</xdr:colOff>
                    <xdr:row>41</xdr:row>
                    <xdr:rowOff>114300</xdr:rowOff>
                  </from>
                  <to>
                    <xdr:col>2</xdr:col>
                    <xdr:colOff>355600</xdr:colOff>
                    <xdr:row>42</xdr:row>
                    <xdr:rowOff>69850</xdr:rowOff>
                  </to>
                </anchor>
              </controlPr>
            </control>
          </mc:Choice>
        </mc:AlternateContent>
        <mc:AlternateContent xmlns:mc="http://schemas.openxmlformats.org/markup-compatibility/2006">
          <mc:Choice Requires="x14">
            <control shapeId="6204" r:id="rId6" name="Check Box 60">
              <controlPr defaultSize="0" autoFill="0" autoLine="0" autoPict="0">
                <anchor moveWithCells="1">
                  <from>
                    <xdr:col>2</xdr:col>
                    <xdr:colOff>184150</xdr:colOff>
                    <xdr:row>13</xdr:row>
                    <xdr:rowOff>165100</xdr:rowOff>
                  </from>
                  <to>
                    <xdr:col>2</xdr:col>
                    <xdr:colOff>361950</xdr:colOff>
                    <xdr:row>13</xdr:row>
                    <xdr:rowOff>323850</xdr:rowOff>
                  </to>
                </anchor>
              </controlPr>
            </control>
          </mc:Choice>
        </mc:AlternateContent>
        <mc:AlternateContent xmlns:mc="http://schemas.openxmlformats.org/markup-compatibility/2006">
          <mc:Choice Requires="x14">
            <control shapeId="6205" r:id="rId7" name="Check Box 61">
              <controlPr defaultSize="0" autoFill="0" autoLine="0" autoPict="0">
                <anchor moveWithCells="1">
                  <from>
                    <xdr:col>2</xdr:col>
                    <xdr:colOff>184150</xdr:colOff>
                    <xdr:row>15</xdr:row>
                    <xdr:rowOff>152400</xdr:rowOff>
                  </from>
                  <to>
                    <xdr:col>2</xdr:col>
                    <xdr:colOff>361950</xdr:colOff>
                    <xdr:row>15</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781B8BC3-B2C6-4945-B1F7-D64A2D5F21EE}">
            <xm:f>menu!$I$47=1</xm:f>
            <x14:dxf>
              <fill>
                <patternFill patternType="lightDown">
                  <fgColor theme="1" tint="0.499984740745262"/>
                  <bgColor theme="0"/>
                </patternFill>
              </fill>
            </x14:dxf>
          </x14:cfRule>
          <xm:sqref>C28 C29:P33</xm:sqref>
        </x14:conditionalFormatting>
        <x14:conditionalFormatting xmlns:xm="http://schemas.microsoft.com/office/excel/2006/main">
          <x14:cfRule type="expression" priority="9" id="{BEE02759-EB68-4513-B51D-56F7127EB596}">
            <xm:f>menu!$I$47&lt;3</xm:f>
            <x14:dxf>
              <fill>
                <patternFill patternType="lightDown">
                  <fgColor theme="1" tint="0.499984740745262"/>
                  <bgColor theme="0"/>
                </patternFill>
              </fill>
            </x14:dxf>
          </x14:cfRule>
          <xm:sqref>C35 C36:P40</xm:sqref>
        </x14:conditionalFormatting>
        <x14:conditionalFormatting xmlns:xm="http://schemas.microsoft.com/office/excel/2006/main">
          <x14:cfRule type="expression" priority="49" id="{302D1E63-97B4-4236-8900-E57724411B4B}">
            <xm:f>menu!$I$21=2</xm:f>
            <x14:dxf>
              <font>
                <color theme="0"/>
              </font>
              <fill>
                <patternFill>
                  <bgColor theme="0"/>
                </patternFill>
              </fill>
              <border>
                <left/>
                <right/>
                <top/>
                <bottom/>
                <vertical/>
                <horizontal/>
              </border>
            </x14:dxf>
          </x14:cfRule>
          <xm:sqref>C12:E12</xm:sqref>
        </x14:conditionalFormatting>
        <x14:conditionalFormatting xmlns:xm="http://schemas.microsoft.com/office/excel/2006/main">
          <x14:cfRule type="expression" priority="59" id="{B6D49DD5-08B6-43EC-8A10-808599284085}">
            <xm:f>menu!$U$4=FALSE</xm:f>
            <x14:dxf>
              <font>
                <color theme="0"/>
              </font>
              <fill>
                <patternFill>
                  <fgColor theme="0"/>
                  <bgColor theme="0"/>
                </patternFill>
              </fill>
              <border>
                <left/>
                <right/>
                <top/>
                <bottom/>
                <vertical/>
                <horizontal/>
              </border>
            </x14:dxf>
          </x14:cfRule>
          <x14:cfRule type="expression" priority="58" id="{7ED4FEBC-FEA8-4511-8E23-D76C7A49DB6C}">
            <xm:f>menu!$B$45=TRUE</xm:f>
            <x14:dxf>
              <fill>
                <patternFill patternType="solid">
                  <fgColor rgb="FFEBF1DE"/>
                  <bgColor theme="6" tint="0.79998168889431442"/>
                </patternFill>
              </fill>
            </x14:dxf>
          </x14:cfRule>
          <xm:sqref>C14:P14</xm:sqref>
        </x14:conditionalFormatting>
        <x14:conditionalFormatting xmlns:xm="http://schemas.microsoft.com/office/excel/2006/main">
          <x14:cfRule type="expression" priority="56" id="{BA93BE3F-21F8-491F-999F-2C01E1243C74}">
            <xm:f>menu!$B$46=TRUE</xm:f>
            <x14:dxf>
              <fill>
                <patternFill patternType="solid">
                  <fgColor rgb="FFEBF1DE"/>
                  <bgColor theme="6" tint="0.79998168889431442"/>
                </patternFill>
              </fill>
            </x14:dxf>
          </x14:cfRule>
          <x14:cfRule type="expression" priority="57" id="{5818D7D2-7E80-44A1-AD15-A62615C7012D}">
            <xm:f>menu!$U$4=FALSE</xm:f>
            <x14:dxf>
              <font>
                <color theme="0"/>
              </font>
              <fill>
                <patternFill>
                  <fgColor theme="0"/>
                  <bgColor theme="0"/>
                </patternFill>
              </fill>
              <border>
                <left/>
                <right/>
                <top/>
                <bottom/>
                <vertical/>
                <horizontal/>
              </border>
            </x14:dxf>
          </x14:cfRule>
          <xm:sqref>C16:P16</xm:sqref>
        </x14:conditionalFormatting>
        <x14:conditionalFormatting xmlns:xm="http://schemas.microsoft.com/office/excel/2006/main">
          <x14:cfRule type="expression" priority="234" id="{BD9123E6-790A-4C74-873F-32FD53CED95D}">
            <xm:f>menu!$U$4=FALSE</xm:f>
            <x14:dxf>
              <font>
                <color theme="0"/>
              </font>
              <fill>
                <patternFill>
                  <fgColor theme="0"/>
                  <bgColor theme="0"/>
                </patternFill>
              </fill>
              <border>
                <left/>
                <right/>
                <top/>
                <bottom/>
                <vertical/>
                <horizontal/>
              </border>
            </x14:dxf>
          </x14:cfRule>
          <xm:sqref>C42:P43 C18:Q22 C12:F12 C35:E35 C36:D40 N36:Q40 C28:F28 C29:D33 N29:Q33 L3:R7 H6 C7:H8 Q12 C13:Q13 Q14:Q16 C23:D26 N23:Q26 C27:Q27 Q28 C34:Q34 Q35 T38 AA38:AG42 C41:Q41 C44:Q58 C59:P61</xm:sqref>
        </x14:conditionalFormatting>
        <x14:conditionalFormatting xmlns:xm="http://schemas.microsoft.com/office/excel/2006/main">
          <x14:cfRule type="expression" priority="80" id="{C76E1DFF-F062-42EB-A256-D2EB1F8878FB}">
            <xm:f>menu!$B$44=TRUE</xm:f>
            <x14:dxf>
              <fill>
                <patternFill patternType="solid">
                  <fgColor rgb="FFEBF1DE"/>
                  <bgColor theme="6" tint="0.79998168889431442"/>
                </patternFill>
              </fill>
            </x14:dxf>
          </x14:cfRule>
          <xm:sqref>C42:P43</xm:sqref>
        </x14:conditionalFormatting>
        <x14:conditionalFormatting xmlns:xm="http://schemas.microsoft.com/office/excel/2006/main">
          <x14:cfRule type="expression" priority="45" id="{E8E8D4A9-6E0A-49DF-A14D-0734ABDF7F8A}">
            <xm:f>menu!$U$4=FALSE</xm:f>
            <x14:dxf>
              <font>
                <color theme="0"/>
              </font>
              <fill>
                <patternFill>
                  <fgColor theme="0"/>
                  <bgColor theme="0"/>
                </patternFill>
              </fill>
              <border>
                <left/>
                <right/>
                <top/>
                <bottom/>
                <vertical/>
                <horizontal/>
              </border>
            </x14:dxf>
          </x14:cfRule>
          <xm:sqref>C9:Q11</xm:sqref>
        </x14:conditionalFormatting>
        <x14:conditionalFormatting xmlns:xm="http://schemas.microsoft.com/office/excel/2006/main">
          <x14:cfRule type="expression" priority="46" id="{2EF805E1-4E5D-46A6-B636-9C4F28782B01}">
            <xm:f>$E$10&lt;&gt;menu!$A$123</xm:f>
            <x14:dxf>
              <font>
                <color theme="1"/>
              </font>
              <fill>
                <patternFill>
                  <bgColor rgb="FFEBF1DE"/>
                </patternFill>
              </fill>
            </x14:dxf>
          </x14:cfRule>
          <xm:sqref>E10:G10</xm:sqref>
        </x14:conditionalFormatting>
        <x14:conditionalFormatting xmlns:xm="http://schemas.microsoft.com/office/excel/2006/main">
          <x14:cfRule type="expression" priority="429" id="{8D7E839C-99ED-43F7-9ABD-6C3E7D4D03DF}">
            <xm:f>AND(menu!$I$21&gt;0,$F$22&lt;&gt;"bitte auswählen")</xm:f>
            <x14:dxf>
              <font>
                <color theme="1"/>
              </font>
              <fill>
                <patternFill>
                  <bgColor rgb="FFEBF1DE"/>
                </patternFill>
              </fill>
            </x14:dxf>
          </x14:cfRule>
          <x14:cfRule type="expression" priority="1576" id="{92153068-7055-47C5-A438-6892350F9711}">
            <xm:f>(AND(menu!$I$21=2,$F$22&lt;&gt;"bitte auswählen"))</xm:f>
            <x14:dxf>
              <font>
                <color theme="1"/>
              </font>
              <fill>
                <patternFill>
                  <bgColor rgb="FFEBF1DE"/>
                </patternFill>
              </fill>
            </x14:dxf>
          </x14:cfRule>
          <xm:sqref>F22</xm:sqref>
        </x14:conditionalFormatting>
        <x14:conditionalFormatting xmlns:xm="http://schemas.microsoft.com/office/excel/2006/main">
          <x14:cfRule type="expression" priority="402" id="{3171535F-9B43-44B5-8E63-0943365039AF}">
            <xm:f>AND(menu!$C$20=0, $H$22&gt;0)</xm:f>
            <x14:dxf>
              <fill>
                <patternFill>
                  <bgColor rgb="FFEBF1DE"/>
                </patternFill>
              </fill>
            </x14:dxf>
          </x14:cfRule>
          <xm:sqref>H22:K22</xm:sqref>
        </x14:conditionalFormatting>
        <x14:conditionalFormatting xmlns:xm="http://schemas.microsoft.com/office/excel/2006/main">
          <x14:cfRule type="expression" priority="35" id="{04B66D28-98C9-4DC5-BF4F-E6F6B5DF5A1F}">
            <xm:f>menu!B236=1</xm:f>
            <x14:dxf>
              <fill>
                <patternFill>
                  <bgColor rgb="FFE3B5A2"/>
                </patternFill>
              </fill>
            </x14:dxf>
          </x14:cfRule>
          <xm:sqref>H23:K26</xm:sqref>
        </x14:conditionalFormatting>
        <x14:conditionalFormatting xmlns:xm="http://schemas.microsoft.com/office/excel/2006/main">
          <x14:cfRule type="expression" priority="27" id="{2B409140-699C-4B21-ABA1-BAE3F25D957F}">
            <xm:f>menu!B241=1</xm:f>
            <x14:dxf>
              <fill>
                <patternFill>
                  <bgColor rgb="FFE3B5A2"/>
                </patternFill>
              </fill>
            </x14:dxf>
          </x14:cfRule>
          <xm:sqref>H29:K33</xm:sqref>
        </x14:conditionalFormatting>
        <x14:conditionalFormatting xmlns:xm="http://schemas.microsoft.com/office/excel/2006/main">
          <x14:cfRule type="expression" priority="10" id="{BCE345FE-597B-431A-83B0-5D1FEC97800F}">
            <xm:f>menu!B247=1</xm:f>
            <x14:dxf>
              <fill>
                <patternFill>
                  <bgColor rgb="FFE3B5A2"/>
                </patternFill>
              </fill>
            </x14:dxf>
          </x14:cfRule>
          <xm:sqref>H36:K40</xm:sqref>
        </x14:conditionalFormatting>
        <x14:conditionalFormatting xmlns:xm="http://schemas.microsoft.com/office/excel/2006/main">
          <x14:cfRule type="expression" priority="77" id="{922D8CBA-4525-49A6-8192-2BA8058FA785}">
            <xm:f>menu!$C$21=1</xm:f>
            <x14:dxf>
              <fill>
                <patternFill>
                  <bgColor rgb="FFE3B5A2"/>
                </patternFill>
              </fill>
            </x14:dxf>
          </x14:cfRule>
          <xm:sqref>L22</xm:sqref>
        </x14:conditionalFormatting>
        <x14:conditionalFormatting xmlns:xm="http://schemas.microsoft.com/office/excel/2006/main">
          <x14:cfRule type="expression" priority="75" id="{4538B4B1-5724-41AC-A4D0-F8C043A2E85C}">
            <xm:f>AND(L22&lt;&gt;"",menu!$C$21=0, $H$22&gt;0)</xm:f>
            <x14:dxf>
              <fill>
                <patternFill>
                  <bgColor rgb="FFEBF1DE"/>
                </patternFill>
              </fill>
            </x14:dxf>
          </x14:cfRule>
          <x14:cfRule type="expression" priority="76" id="{306B51EE-AA43-490E-94DE-BA05849010F7}">
            <xm:f>AND(menu!$I$21&gt;0,$G$51&gt;0)</xm:f>
            <x14:dxf>
              <fill>
                <patternFill>
                  <bgColor rgb="FFE3B5A2"/>
                </patternFill>
              </fill>
            </x14:dxf>
          </x14:cfRule>
          <x14:cfRule type="expression" priority="426" id="{9EE531CF-4357-4A30-BA0F-4979870E3FDA}">
            <xm:f>AND($L$22&gt;0,menu!$C$21=0)</xm:f>
            <x14:dxf>
              <fill>
                <patternFill>
                  <bgColor rgb="FFEBF1DE"/>
                </patternFill>
              </fill>
            </x14:dxf>
          </x14:cfRule>
          <xm:sqref>L22:M22</xm:sqref>
        </x14:conditionalFormatting>
        <x14:conditionalFormatting xmlns:xm="http://schemas.microsoft.com/office/excel/2006/main">
          <x14:cfRule type="expression" priority="32" id="{7DABBFB5-3F07-498F-84F7-18C2C7810B7F}">
            <xm:f>menu!C236&gt;0</xm:f>
            <x14:dxf>
              <fill>
                <patternFill>
                  <bgColor rgb="FFE3B5A2"/>
                </patternFill>
              </fill>
            </x14:dxf>
          </x14:cfRule>
          <xm:sqref>L23:M26</xm:sqref>
        </x14:conditionalFormatting>
        <x14:conditionalFormatting xmlns:xm="http://schemas.microsoft.com/office/excel/2006/main">
          <x14:cfRule type="expression" priority="24" id="{94569977-5237-4E30-A67F-343D3D4D3742}">
            <xm:f>menu!C241&gt;0</xm:f>
            <x14:dxf>
              <fill>
                <patternFill>
                  <bgColor rgb="FFE3B5A2"/>
                </patternFill>
              </fill>
            </x14:dxf>
          </x14:cfRule>
          <xm:sqref>L29:M33</xm:sqref>
        </x14:conditionalFormatting>
        <x14:conditionalFormatting xmlns:xm="http://schemas.microsoft.com/office/excel/2006/main">
          <x14:cfRule type="expression" priority="13" id="{5080C652-8AEE-49D9-B12B-4AF04835A355}">
            <xm:f>menu!C247&gt;0</xm:f>
            <x14:dxf>
              <fill>
                <patternFill>
                  <bgColor rgb="FFE3B5A2"/>
                </patternFill>
              </fill>
            </x14:dxf>
          </x14:cfRule>
          <xm:sqref>L36:M40</xm:sqref>
        </x14:conditionalFormatting>
        <x14:conditionalFormatting xmlns:xm="http://schemas.microsoft.com/office/excel/2006/main">
          <x14:cfRule type="expression" priority="1616" id="{DA6CA15B-CD21-4A8B-8144-B9932D8EDA50}">
            <xm:f>OR($H$56="TVöD",$H$56=menu!$Q$18,$H$56=menu!$Q$19,$H$56=menu!$Q$21)</xm:f>
            <x14:dxf>
              <font>
                <color theme="0"/>
              </font>
              <fill>
                <patternFill>
                  <bgColor theme="0"/>
                </patternFill>
              </fill>
              <border>
                <left style="thin">
                  <color theme="0"/>
                </left>
                <right style="thin">
                  <color theme="0"/>
                </right>
                <top style="thin">
                  <color theme="0"/>
                </top>
                <bottom style="thin">
                  <color theme="0"/>
                </bottom>
                <vertical/>
                <horizontal/>
              </border>
            </x14:dxf>
          </x14:cfRule>
          <xm:sqref>M55:P57</xm:sqref>
        </x14:conditionalFormatting>
        <x14:conditionalFormatting xmlns:xm="http://schemas.microsoft.com/office/excel/2006/main">
          <x14:cfRule type="iconSet" priority="367" id="{AD4D5073-CB7E-42AF-AEB1-4992C858D830}">
            <x14:iconSet iconSet="3Symbols2" showValue="0" custom="1">
              <x14:cfvo type="percent">
                <xm:f>0</xm:f>
              </x14:cfvo>
              <x14:cfvo type="num" gte="0">
                <xm:f>-1</xm:f>
              </x14:cfvo>
              <x14:cfvo type="num">
                <xm:f>0</xm:f>
              </x14:cfvo>
              <x14:cfIcon iconSet="3Symbols2" iconId="2"/>
              <x14:cfIcon iconSet="3Symbols2" iconId="1"/>
              <x14:cfIcon iconSet="3Symbols2" iconId="0"/>
            </x14:iconSet>
          </x14:cfRule>
          <x14:cfRule type="iconSet" priority="365" id="{BCD0F097-9C2C-4FFB-941F-CB36FF194CB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Q10</xm:sqref>
        </x14:conditionalFormatting>
        <x14:conditionalFormatting xmlns:xm="http://schemas.microsoft.com/office/excel/2006/main">
          <x14:cfRule type="iconSet" priority="1952" id="{50D7EF6C-09FE-48BD-9783-DCC8EAB80C2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Q12</xm:sqref>
        </x14:conditionalFormatting>
        <x14:conditionalFormatting xmlns:xm="http://schemas.microsoft.com/office/excel/2006/main">
          <x14:cfRule type="iconSet" priority="5" id="{E590B780-C61B-4875-AC8F-9B76BBC4D7C3}">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Q14</xm:sqref>
        </x14:conditionalFormatting>
        <x14:conditionalFormatting xmlns:xm="http://schemas.microsoft.com/office/excel/2006/main">
          <x14:cfRule type="iconSet" priority="3" id="{3C1943BC-70A4-4CD2-B1D6-B8936EEA9D39}">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Q16</xm:sqref>
        </x14:conditionalFormatting>
        <x14:conditionalFormatting xmlns:xm="http://schemas.microsoft.com/office/excel/2006/main">
          <x14:cfRule type="iconSet" priority="366" id="{FE8482E4-5517-4E7A-9F0D-5212F02AB14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Q18</xm:sqref>
        </x14:conditionalFormatting>
        <x14:conditionalFormatting xmlns:xm="http://schemas.microsoft.com/office/excel/2006/main">
          <x14:cfRule type="iconSet" priority="364" id="{CED1899C-A06A-4A0D-A1BB-A566296D28A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Q22</xm:sqref>
        </x14:conditionalFormatting>
        <x14:conditionalFormatting xmlns:xm="http://schemas.microsoft.com/office/excel/2006/main">
          <x14:cfRule type="iconSet" priority="358" id="{30732AC9-AD88-4F05-969B-2D73EF192F2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Q22:Q26</xm:sqref>
        </x14:conditionalFormatting>
        <x14:conditionalFormatting xmlns:xm="http://schemas.microsoft.com/office/excel/2006/main">
          <x14:cfRule type="iconSet" priority="363" id="{E0900EEE-CA8B-44FE-8EA3-37AF3D70635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Q23:Q26</xm:sqref>
        </x14:conditionalFormatting>
        <x14:conditionalFormatting xmlns:xm="http://schemas.microsoft.com/office/excel/2006/main">
          <x14:cfRule type="iconSet" priority="362" id="{F3001C45-5BA1-42EC-9C67-95D4416B618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359" id="{38A95601-86FA-4591-8565-23EA8A4D3D6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Q24:Q40</xm:sqref>
        </x14:conditionalFormatting>
        <x14:conditionalFormatting xmlns:xm="http://schemas.microsoft.com/office/excel/2006/main">
          <x14:cfRule type="iconSet" priority="285" id="{0BE5CD7D-9972-482B-9267-F222F97F1BF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Q29</xm:sqref>
        </x14:conditionalFormatting>
        <x14:conditionalFormatting xmlns:xm="http://schemas.microsoft.com/office/excel/2006/main">
          <x14:cfRule type="iconSet" priority="284" id="{8842EE89-AC9D-483B-A78C-7A611B2F14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Q29:Q33</xm:sqref>
        </x14:conditionalFormatting>
        <x14:conditionalFormatting xmlns:xm="http://schemas.microsoft.com/office/excel/2006/main">
          <x14:cfRule type="iconSet" priority="283" id="{BE4EF60E-C8D5-4051-82C5-B317AFACA2E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Q30:Q33</xm:sqref>
        </x14:conditionalFormatting>
        <x14:conditionalFormatting xmlns:xm="http://schemas.microsoft.com/office/excel/2006/main">
          <x14:cfRule type="iconSet" priority="282" id="{C05B1222-1BF0-4CA9-AB4F-28137D31FC0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Q36</xm:sqref>
        </x14:conditionalFormatting>
        <x14:conditionalFormatting xmlns:xm="http://schemas.microsoft.com/office/excel/2006/main">
          <x14:cfRule type="iconSet" priority="281" id="{5C5CAD35-EEFF-4FA8-ABE6-9A12BAFAE4D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Q36:Q40</xm:sqref>
        </x14:conditionalFormatting>
        <x14:conditionalFormatting xmlns:xm="http://schemas.microsoft.com/office/excel/2006/main">
          <x14:cfRule type="iconSet" priority="280" id="{5509DF07-80B1-4C25-94E9-9FF1384DAB0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Q37:Q40</xm:sqref>
        </x14:conditionalFormatting>
        <x14:conditionalFormatting xmlns:xm="http://schemas.microsoft.com/office/excel/2006/main">
          <x14:cfRule type="expression" priority="2" id="{79EEF3AF-0621-45E9-A586-8E507DD82E4C}">
            <xm:f>menu!$U$4=FALSE</xm:f>
            <x14:dxf>
              <font>
                <color theme="0"/>
              </font>
              <fill>
                <patternFill>
                  <fgColor theme="0"/>
                  <bgColor theme="0"/>
                </patternFill>
              </fill>
              <border>
                <left/>
                <right/>
                <top/>
                <bottom/>
                <vertical/>
                <horizontal/>
              </border>
            </x14:dxf>
          </x14:cfRule>
          <x14:cfRule type="iconSet" priority="1" id="{D76075E6-876A-4C3B-9DDC-9B7A61C5FF41}">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Q42:Q43</xm:sqref>
        </x14:conditionalFormatting>
        <x14:conditionalFormatting xmlns:xm="http://schemas.microsoft.com/office/excel/2006/main">
          <x14:cfRule type="expression" priority="361" id="{D0E5AC34-E2D0-4A75-8DAA-9260C57C05C7}">
            <xm:f>menu!$U$4=FALSE</xm:f>
            <x14:dxf>
              <font>
                <color theme="0"/>
              </font>
              <fill>
                <patternFill>
                  <fgColor theme="0"/>
                  <bgColor theme="0"/>
                </patternFill>
              </fill>
              <border>
                <left/>
                <right/>
                <top/>
                <bottom/>
                <vertical/>
                <horizontal/>
              </border>
            </x14:dxf>
          </x14:cfRule>
          <x14:cfRule type="iconSet" priority="360" id="{6B6A2A57-1DDD-47BB-9E08-AABF3E3850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Q56</xm:sqref>
        </x14:conditionalFormatting>
      </x14:conditionalFormattings>
    </ext>
    <ext xmlns:x14="http://schemas.microsoft.com/office/spreadsheetml/2009/9/main" uri="{CCE6A557-97BC-4b89-ADB6-D9C93CAAB3DF}">
      <x14:dataValidations xmlns:xm="http://schemas.microsoft.com/office/excel/2006/main" xWindow="814" yWindow="421" count="9">
        <x14:dataValidation type="list"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xr:uid="{00000000-0002-0000-0800-00000F000000}">
          <x14:formula1>
            <xm:f>menu!$A$17:$A$23</xm:f>
          </x14:formula1>
          <xm:sqref>E34 E27</xm:sqref>
        </x14:dataValidation>
        <x14:dataValidation type="list"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xr:uid="{00000000-0002-0000-0800-000010000000}">
          <x14:formula1>
            <xm:f>menu!$A$17:$A$23</xm:f>
          </x14:formula1>
          <xm:sqref>E22 E29:E33</xm:sqref>
        </x14:dataValidation>
        <x14:dataValidation type="list" allowBlank="1" showInputMessage="1" showErrorMessage="1" promptTitle="Hinweis:" prompt="Zur Prüfung der maximalen monatlichen Zuschläge, geben Sie bitte das Bundesland, in dem sich der Antragsteller befindet, an. " xr:uid="{00000000-0002-0000-0800-000011000000}">
          <x14:formula1>
            <xm:f>menu!$Q$37:$Q$53</xm:f>
          </x14:formula1>
          <xm:sqref>E18:G18</xm:sqref>
        </x14:dataValidation>
        <x14:dataValidation type="list" allowBlank="1" showInputMessage="1" showErrorMessage="1" xr:uid="{00000000-0002-0000-0800-000012000000}">
          <x14:formula1>
            <xm:f>menu!$Q$18:$Q$23</xm:f>
          </x14:formula1>
          <xm:sqref>H56:K57</xm:sqref>
        </x14:dataValidation>
        <x14:dataValidation type="list" allowBlank="1" showInputMessage="1" showErrorMessage="1" xr:uid="{00000000-0002-0000-0800-000013000000}">
          <x14:formula1>
            <xm:f>menu!$K$18:$K$24</xm:f>
          </x14:formula1>
          <xm:sqref>F36:F40</xm:sqref>
        </x14:dataValidation>
        <x14:dataValidation type="list" allowBlank="1" showInputMessage="1" showErrorMessage="1" xr:uid="{00000000-0002-0000-0800-000014000000}">
          <x14:formula1>
            <xm:f>IF(menu!$I$21=2,menu!$K$18:$K$24,menu!$K$18:$K$20)</xm:f>
          </x14:formula1>
          <xm:sqref>F23:F27</xm:sqref>
        </x14:dataValidation>
        <x14:dataValidation type="list" allowBlank="1" showInputMessage="1" showErrorMessage="1" promptTitle="Hinweis:" prompt="Die beantragte Entgeltgruppe (EG) muss sich aus dem fachlich-inhaltlichen Anforderungsprofil des Klimaschutzmanagers ergeben. Die beantragte EG spigelt die Anforderungen an die Qualifikationen des Bewerbers wieder." xr:uid="{00000000-0002-0000-0800-000015000000}">
          <x14:formula1>
            <xm:f>menu!$A$17:$A$23</xm:f>
          </x14:formula1>
          <xm:sqref>E23:E26</xm:sqref>
        </x14:dataValidation>
        <x14:dataValidation type="list" operator="equal" allowBlank="1" showInputMessage="1" showErrorMessage="1" errorTitle="Achtung:" error="Der Dienstantritt muss nach dem heutigen Datum und spätestens 12 Monate nach Antragstellung liegen. Der Dienstantritt ist immer der Monatserste." xr:uid="{00000000-0002-0000-0800-000016000000}">
          <x14:formula1>
            <xm:f>IF(Basisdaten!#REF!="Erstvorhaben",menu!$A$123:$A$124,menu!$A$123:$A$125)</xm:f>
          </x14:formula1>
          <xm:sqref>E10:G10</xm:sqref>
        </x14:dataValidation>
        <x14:dataValidation type="list" allowBlank="1" showInputMessage="1" showErrorMessage="1" xr:uid="{00000000-0002-0000-0800-000017000000}">
          <x14:formula1>
            <xm:f>IF(menu!I21=2,menu!$K$18:$K$24,menu!$K$18:$K$20)</xm:f>
          </x14:formula1>
          <xm:sqref>F22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18</vt:i4>
      </vt:variant>
    </vt:vector>
  </HeadingPairs>
  <TitlesOfParts>
    <vt:vector size="39" baseType="lpstr">
      <vt:lpstr>Basisdaten</vt:lpstr>
      <vt:lpstr>menu</vt:lpstr>
      <vt:lpstr>Texte</vt:lpstr>
      <vt:lpstr>AntragstellerIn</vt:lpstr>
      <vt:lpstr>Inhalte und Handlungsfelder</vt:lpstr>
      <vt:lpstr>TVÖD_Obergrenzen</vt:lpstr>
      <vt:lpstr>Dashboard</vt:lpstr>
      <vt:lpstr>Personalausgaben</vt:lpstr>
      <vt:lpstr>Personal</vt:lpstr>
      <vt:lpstr>Ausgabenkalkulation</vt:lpstr>
      <vt:lpstr>Tabelle1</vt:lpstr>
      <vt:lpstr>Begl_Öffentlichkeitsarbeit</vt:lpstr>
      <vt:lpstr>Akteursbeteiligung</vt:lpstr>
      <vt:lpstr>prof_Prozessunterstützung</vt:lpstr>
      <vt:lpstr>weitere Sachausgaben</vt:lpstr>
      <vt:lpstr>Dienstreisen und Qualifizierung</vt:lpstr>
      <vt:lpstr>Konzeptfertigstellung</vt:lpstr>
      <vt:lpstr>ausgabenexport</vt:lpstr>
      <vt:lpstr>Hinweise Ausgaben ÖA</vt:lpstr>
      <vt:lpstr>Ausgabenübersicht</vt:lpstr>
      <vt:lpstr>Anmerkungen</vt:lpstr>
      <vt:lpstr>bahncard100</vt:lpstr>
      <vt:lpstr>bahncard25</vt:lpstr>
      <vt:lpstr>Akteursbeteiligung!Druckbereich</vt:lpstr>
      <vt:lpstr>Anmerkungen!Druckbereich</vt:lpstr>
      <vt:lpstr>AntragstellerIn!Druckbereich</vt:lpstr>
      <vt:lpstr>Ausgabenkalkulation!Druckbereich</vt:lpstr>
      <vt:lpstr>Ausgabenübersicht!Druckbereich</vt:lpstr>
      <vt:lpstr>Basisdaten!Druckbereich</vt:lpstr>
      <vt:lpstr>Begl_Öffentlichkeitsarbeit!Druckbereich</vt:lpstr>
      <vt:lpstr>'Dienstreisen und Qualifizierung'!Druckbereich</vt:lpstr>
      <vt:lpstr>'Hinweise Ausgaben ÖA'!Druckbereich</vt:lpstr>
      <vt:lpstr>'Inhalte und Handlungsfelder'!Druckbereich</vt:lpstr>
      <vt:lpstr>Konzeptfertigstellung!Druckbereich</vt:lpstr>
      <vt:lpstr>Personal!Druckbereich</vt:lpstr>
      <vt:lpstr>Personalausgaben!Druckbereich</vt:lpstr>
      <vt:lpstr>prof_Prozessunterstützung!Druckbereich</vt:lpstr>
      <vt:lpstr>Tabelle1!Druckbereich</vt:lpstr>
      <vt:lpstr>'weitere Sachausgaben'!Druckbereich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4.1.10a Fokuskonzept</dc:title>
  <dc:subject>Nationale Klimaschutzinitiative - Kommunalrichtlinie</dc:subject>
  <cp:keywords>Klimaschutz; NKI; Kommunalrichtlinie; Kommune; Projektförderung; Förderschwerpunkt; Fokuskonzept; Mobilität; Abfallwirtschaft; Konzepterstellung; Dienstleister</cp:keywords>
  <cp:lastModifiedBy>Florentine Elsholtz</cp:lastModifiedBy>
  <cp:lastPrinted>2025-01-28T15:00:13Z</cp:lastPrinted>
  <dcterms:created xsi:type="dcterms:W3CDTF">2019-01-14T11:03:48Z</dcterms:created>
  <dcterms:modified xsi:type="dcterms:W3CDTF">2025-11-20T07:50:34Z</dcterms:modified>
</cp:coreProperties>
</file>